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KLSE PL" sheetId="1" r:id="rId1"/>
    <sheet name="KLSE BS" sheetId="2" r:id="rId2"/>
    <sheet name="KLSE Notes" sheetId="3" r:id="rId3"/>
  </sheets>
  <externalReferences>
    <externalReference r:id="rId6"/>
  </externalReferences>
  <definedNames>
    <definedName name="_xlnm.Print_Area" localSheetId="1">'KLSE BS'!$A$1:$H$65</definedName>
    <definedName name="_xlnm.Print_Area" localSheetId="0">'KLSE PL'!$A$1:$K$100</definedName>
  </definedNames>
  <calcPr fullCalcOnLoad="1" iterate="1" iterateCount="10" iterateDelta="0.001"/>
</workbook>
</file>

<file path=xl/comments3.xml><?xml version="1.0" encoding="utf-8"?>
<comments xmlns="http://schemas.openxmlformats.org/spreadsheetml/2006/main">
  <authors>
    <author>AUSTRAL </author>
  </authors>
  <commentList>
    <comment ref="J40" authorId="0">
      <text>
        <r>
          <rPr>
            <sz val="8"/>
            <rFont val="Tahoma"/>
            <family val="0"/>
          </rPr>
          <t xml:space="preserve">AAB has 5,000,000 Arensi Shares pledged to OCBC (now Danaharta) . The KLSE counter is  suspended. 
</t>
        </r>
      </text>
    </comment>
    <comment ref="J41" authorId="0">
      <text>
        <r>
          <rPr>
            <sz val="8"/>
            <rFont val="Tahoma"/>
            <family val="0"/>
          </rPr>
          <t>AAB 's a/c has 2,222,222.22 units of MBf Unit Trust.
Pls dble check on the market price of RM0.44</t>
        </r>
      </text>
    </comment>
  </commentList>
</comments>
</file>

<file path=xl/sharedStrings.xml><?xml version="1.0" encoding="utf-8"?>
<sst xmlns="http://schemas.openxmlformats.org/spreadsheetml/2006/main" count="328" uniqueCount="264">
  <si>
    <t>Financial Result Announcement</t>
  </si>
  <si>
    <t xml:space="preserve">Submitting Merchant Bank                   </t>
  </si>
  <si>
    <t>:</t>
  </si>
  <si>
    <t>(if applicable)</t>
  </si>
  <si>
    <t xml:space="preserve">Submitting Secretarial Firm Name         </t>
  </si>
  <si>
    <t>:  Securities Services (Holdings) Sdn Bhd</t>
  </si>
  <si>
    <t>*</t>
  </si>
  <si>
    <t xml:space="preserve">Company name                                    </t>
  </si>
  <si>
    <t>: AUSTRAL AMALGAMATED BERHAD</t>
  </si>
  <si>
    <t xml:space="preserve">Stock name                                         </t>
  </si>
  <si>
    <t xml:space="preserve">* </t>
  </si>
  <si>
    <t xml:space="preserve">Stock code                                          </t>
  </si>
  <si>
    <t>: 2097</t>
  </si>
  <si>
    <t xml:space="preserve">Contact person                                    </t>
  </si>
  <si>
    <t>:  Ms. Jenny Lim Yew Heang</t>
  </si>
  <si>
    <t xml:space="preserve">Designation                                         </t>
  </si>
  <si>
    <t>:  Joint Company Secretary</t>
  </si>
  <si>
    <t xml:space="preserve">Financial Year End : </t>
  </si>
  <si>
    <t>30/06/2001</t>
  </si>
  <si>
    <t>Quarter                   :</t>
  </si>
  <si>
    <t>O Qtr 1</t>
  </si>
  <si>
    <t>O Qtr 2</t>
  </si>
  <si>
    <t>O Qtr 3</t>
  </si>
  <si>
    <t>O Qtr 4</t>
  </si>
  <si>
    <t>O Other</t>
  </si>
  <si>
    <t>Quarterly report on consolidated results for the financial period ended</t>
  </si>
  <si>
    <t>* 31/03/2001</t>
  </si>
  <si>
    <t xml:space="preserve">* The figures  </t>
  </si>
  <si>
    <t xml:space="preserve">O have been audited </t>
  </si>
  <si>
    <t>O have not been audited</t>
  </si>
  <si>
    <t>UNAUDITED CONSOLIDATED INCOME STATEMENT</t>
  </si>
  <si>
    <t>EXTRACT FOR LINK WORKINGS ONLY</t>
  </si>
  <si>
    <t>INDIVIDUAL PERIOD</t>
  </si>
  <si>
    <t>CUMULATIVE PERIOD</t>
  </si>
  <si>
    <t>CURRENT</t>
  </si>
  <si>
    <t>PRECEDING YEAR</t>
  </si>
  <si>
    <t>CURRENT YEAR</t>
  </si>
  <si>
    <t>YTD TO</t>
  </si>
  <si>
    <t>CORRESPONDING</t>
  </si>
  <si>
    <t>3nd QUARTER</t>
  </si>
  <si>
    <t>TO DATE</t>
  </si>
  <si>
    <t>PREVIOUS</t>
  </si>
  <si>
    <t>PERIOD TO LAST</t>
  </si>
  <si>
    <t>QUARTER</t>
  </si>
  <si>
    <t>PERIOD</t>
  </si>
  <si>
    <t xml:space="preserve"> QUARTER</t>
  </si>
  <si>
    <t>(RM'000)</t>
  </si>
  <si>
    <t>1.</t>
  </si>
  <si>
    <t>(a)</t>
  </si>
  <si>
    <t>Turnover</t>
  </si>
  <si>
    <t>(b)</t>
  </si>
  <si>
    <t>Investment Income</t>
  </si>
  <si>
    <t>1/2 YE 30.06.99</t>
  </si>
  <si>
    <t>1 Q YE 30.06.99</t>
  </si>
  <si>
    <t>(c)</t>
  </si>
  <si>
    <t>Other Income including interest income</t>
  </si>
  <si>
    <t>RM'000</t>
  </si>
  <si>
    <t>2.</t>
  </si>
  <si>
    <t>Operating profit/(loss)</t>
  </si>
  <si>
    <t xml:space="preserve">before interest on borrowings, </t>
  </si>
  <si>
    <t>depreciation and amortisation</t>
  </si>
  <si>
    <t>int</t>
  </si>
  <si>
    <t xml:space="preserve">exceptional items, income tax, minority </t>
  </si>
  <si>
    <t>dep</t>
  </si>
  <si>
    <t>interests and extraordinary items</t>
  </si>
  <si>
    <t>Less interest on borrowings</t>
  </si>
  <si>
    <t>tax</t>
  </si>
  <si>
    <t>Less depreciation and amortisation</t>
  </si>
  <si>
    <t>(d)</t>
  </si>
  <si>
    <t>Exceptional items</t>
  </si>
  <si>
    <t>mi</t>
  </si>
  <si>
    <t>(e)</t>
  </si>
  <si>
    <t xml:space="preserve">Operating profit/(loss) after </t>
  </si>
  <si>
    <t>interest on borrowings,</t>
  </si>
  <si>
    <t xml:space="preserve">depreciation and </t>
  </si>
  <si>
    <t>amortisation and</t>
  </si>
  <si>
    <t>NTA</t>
  </si>
  <si>
    <t>exceptional items but</t>
  </si>
  <si>
    <t xml:space="preserve">before income tax and </t>
  </si>
  <si>
    <t>NTA/share</t>
  </si>
  <si>
    <t>extraordinary items</t>
  </si>
  <si>
    <t>(f)</t>
  </si>
  <si>
    <t>Share in the results of</t>
  </si>
  <si>
    <t>associated companies</t>
  </si>
  <si>
    <t>(g)</t>
  </si>
  <si>
    <t>Profit/(Loss) before taxation,</t>
  </si>
  <si>
    <t>minority interests</t>
  </si>
  <si>
    <t>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</si>
  <si>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</si>
  <si>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</si>
  <si>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</si>
  <si>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</si>
  <si>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</si>
  <si>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</si>
  <si>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Less: Minority Interest</t>
  </si>
  <si>
    <t>(j)</t>
  </si>
  <si>
    <t xml:space="preserve">attributable to the members of the </t>
  </si>
  <si>
    <t>Company</t>
  </si>
  <si>
    <t>(k)</t>
  </si>
  <si>
    <t>Extraordinary Item</t>
  </si>
  <si>
    <t>(iii)</t>
  </si>
  <si>
    <t xml:space="preserve">Extraordinary Item attributable to </t>
  </si>
  <si>
    <t>members of the Company</t>
  </si>
  <si>
    <t>(l)</t>
  </si>
  <si>
    <t xml:space="preserve">Profit/(Loss) after taxation </t>
  </si>
  <si>
    <t>attributable to members of the company</t>
  </si>
  <si>
    <t>3.</t>
  </si>
  <si>
    <t>Earnings in per share</t>
  </si>
  <si>
    <t>based on 2(j) above after deducting</t>
  </si>
  <si>
    <t xml:space="preserve">any provision for preference </t>
  </si>
  <si>
    <t>dividends, if any (sen) :</t>
  </si>
  <si>
    <t>Basic (based on ordinary shares (sen)</t>
  </si>
  <si>
    <t>Fully diluted (based on ordinary shares -sen)</t>
  </si>
  <si>
    <t>4.</t>
  </si>
  <si>
    <t>Dividend per share (sen)</t>
  </si>
  <si>
    <t>Dividend description</t>
  </si>
  <si>
    <t>AS AT END OF CURRENT QUARTER</t>
  </si>
  <si>
    <t xml:space="preserve">AS AT PRECEDING FINANCIAL YEAR </t>
  </si>
  <si>
    <t>END</t>
  </si>
  <si>
    <t xml:space="preserve">Net tangible asset backing per ordinary </t>
  </si>
  <si>
    <t>share (RM)</t>
  </si>
  <si>
    <t>AUSTRAL AMALGAMATED BERHAD</t>
  </si>
  <si>
    <t>UNAUDITED CONSOLIDATED BALANCE SHEET</t>
  </si>
  <si>
    <t>AS AT</t>
  </si>
  <si>
    <t>END OF</t>
  </si>
  <si>
    <t>PRECEDING</t>
  </si>
  <si>
    <t xml:space="preserve">CURRENT </t>
  </si>
  <si>
    <t>FINANCIAL</t>
  </si>
  <si>
    <t>YEAR END</t>
  </si>
  <si>
    <t>RM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</si>
  <si>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</si>
  <si>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</si>
  <si>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</si>
  <si>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</si>
  <si>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</si>
  <si>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</si>
  <si>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</si>
  <si>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</si>
  <si>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</si>
  <si>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</si>
  <si>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Property Development Expenditure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</si>
  <si>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</si>
  <si>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</si>
  <si>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</si>
  <si>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</si>
  <si>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</si>
  <si>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</si>
  <si>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</si>
  <si>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</si>
  <si>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</si>
  <si>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</si>
  <si>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</si>
  <si>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</si>
  <si>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</si>
  <si>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</si>
  <si>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Merger Reserve</t>
  </si>
  <si>
    <t>Reserve on Consolidation Reserve</t>
  </si>
  <si>
    <t>Revaluation Surplus Reserve</t>
  </si>
  <si>
    <t>Statutory Reserve</t>
  </si>
  <si>
    <t>Accumulated Loss</t>
  </si>
  <si>
    <t>Minority Interest</t>
  </si>
  <si>
    <t>Long Term Borrowings</t>
  </si>
  <si>
    <t xml:space="preserve">Other Long Term Liabilities - deferred tax </t>
  </si>
  <si>
    <t>Net tangible asset per ordinary share</t>
  </si>
  <si>
    <t>ANNOUNCEMENT TO KLSE  - 3rd QUARTER OF FINANCIAL YEAR ENDING 30TH JUNE 2001</t>
  </si>
  <si>
    <t>NOTES</t>
  </si>
  <si>
    <t>Accounting Policies</t>
  </si>
  <si>
    <t>The 3rd quarter financial statements have been prepared using the same accounting policies, method of computation and basis</t>
  </si>
  <si>
    <t>of consolidation as compared with those used in the preparation of the most recent annual financial statements.</t>
  </si>
  <si>
    <t>Exceptional Items</t>
  </si>
  <si>
    <t>Current Year</t>
  </si>
  <si>
    <t>Cumulated Quarter</t>
  </si>
  <si>
    <t>Quarter</t>
  </si>
  <si>
    <t>Current Year to date</t>
  </si>
  <si>
    <t>31.03.01</t>
  </si>
  <si>
    <t>Disposal of unquoted shares in City Finance to EON Bank</t>
  </si>
  <si>
    <t>Extraordinary Items</t>
  </si>
  <si>
    <t>There was no extraordinary item for the second quarter and the financial year ended 30th June 2001.</t>
  </si>
  <si>
    <t>Current Taxation</t>
  </si>
  <si>
    <t>Under/(over) provision in prior year</t>
  </si>
  <si>
    <t>There were no pre-acquisition profits for the year to date.</t>
  </si>
  <si>
    <t>There were no profits derived from the sale of investments and investment properties.</t>
  </si>
  <si>
    <t>(a) There was no purchase or disposal of quoted securities during the year to date.</t>
  </si>
  <si>
    <t>(b) The cost and market value of quoted securities as at 31.03.2001are as follows:-</t>
  </si>
  <si>
    <t>Cost</t>
  </si>
  <si>
    <t>Book Value</t>
  </si>
  <si>
    <t>Market Value</t>
  </si>
  <si>
    <t>Shares quoted in Malaysia*</t>
  </si>
  <si>
    <t>Unit Trust</t>
  </si>
  <si>
    <t>*The investments of the Company  in quoted shares are pledged with financial institutions as security for banking facilities.</t>
  </si>
  <si>
    <t>Changes in the Composition of the Group</t>
  </si>
  <si>
    <t>Except for item 9 below, there were no other changes in the composition of the company for the current financial year to date</t>
  </si>
  <si>
    <t xml:space="preserve">including business combination, acquisition or disposal of subsidiaries and long term investments, restructuring and </t>
  </si>
  <si>
    <t>and discontinuing operations .</t>
  </si>
  <si>
    <t>Status of Corporate Proposals</t>
  </si>
  <si>
    <t>As announced on 27th October 2000, the Company proposes to undertake a composite restructuring execise which includes the</t>
  </si>
  <si>
    <t>following:-</t>
  </si>
  <si>
    <t>Proposed Capital Reduction and Consolidation</t>
  </si>
  <si>
    <t>Proposed Share Exchange</t>
  </si>
  <si>
    <t>Proposed Rights Issue with Warrants</t>
  </si>
  <si>
    <t>Proposed Injections of Companies</t>
  </si>
  <si>
    <t xml:space="preserve">Proposed Restricted Issue </t>
  </si>
  <si>
    <t>Proposed Creditors Scheme</t>
  </si>
  <si>
    <t>Proposed Listing of Furqan Business Organisation Berhad ("FBO")</t>
  </si>
  <si>
    <t>Proposed Waiver</t>
  </si>
  <si>
    <t>(Collectively referred to as "Proposals")</t>
  </si>
  <si>
    <t xml:space="preserve">The Proposals have been approved by Pengurusan Danaharta Nasional Berhad on 10 October 2000 and Secured Creditors </t>
  </si>
  <si>
    <t>on 27 October 2000 (Please refer to the announcement (Reference No: MM-001025-65040) on 27 October 2000 for further  details).</t>
  </si>
  <si>
    <t>The Company will endevour to keep the Kuala Lumpur Stock Exchange notified for further developments.</t>
  </si>
  <si>
    <t>Seasonal or Cyclical Factors</t>
  </si>
  <si>
    <t>There was no significant seasonal or cycles factors affecting operations of our group .</t>
  </si>
  <si>
    <t>Corporate Developments</t>
  </si>
  <si>
    <t>There were no issuance or repayment of debt and equity securities, share buybacks, share cancellations, shares held as treasury</t>
  </si>
  <si>
    <t>shares and resale of treasury shares for the current financial year to date.</t>
  </si>
  <si>
    <t>Group borrowings</t>
  </si>
  <si>
    <t>Group borrowings and debt securities as at 31st March 2001 are as follows:</t>
  </si>
  <si>
    <t>Secured Borrowings</t>
  </si>
  <si>
    <t>Unsecured Borrowings</t>
  </si>
  <si>
    <t>Long Term</t>
  </si>
  <si>
    <t>NIL</t>
  </si>
  <si>
    <t>Short Term</t>
  </si>
  <si>
    <t>The group borrowings included Hire Purchase and Leasing</t>
  </si>
  <si>
    <t>All the group borrowings are denominated in Ringgit Malaysia.</t>
  </si>
  <si>
    <t xml:space="preserve">Contingent Liabilities </t>
  </si>
  <si>
    <t>All contingent liabilities have crystallised since having obtained the Restraining Order.  All liabilities are no longer contingent.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</si>
  <si>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</si>
  <si>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</si>
  <si>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</si>
  <si>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 xml:space="preserve">All litigation has been held in abeyance in view of having obtained the Restraining Order and the appointment of Special </t>
  </si>
  <si>
    <t>Segmental information</t>
  </si>
  <si>
    <t>Segmental information for the period ended 31st December  2000 are as follows:-</t>
  </si>
  <si>
    <t>Profit/(Loss) before Taxation</t>
  </si>
  <si>
    <t>Total Assets Employed</t>
  </si>
  <si>
    <t>Property Development</t>
  </si>
  <si>
    <t>Investment holding</t>
  </si>
  <si>
    <t>Tour &amp; Travel Agent</t>
  </si>
  <si>
    <t>Financial services</t>
  </si>
  <si>
    <t>Material Changes in Quarterly Results compared to the Results of the Preceding Quarter</t>
  </si>
  <si>
    <t>Review of performance</t>
  </si>
  <si>
    <t>Commentary on current year prospect</t>
  </si>
  <si>
    <t>Variance on Forecast Profit</t>
  </si>
  <si>
    <t>The profit forecast are presently under review of the Special Administrator in line with their efforts to restructure the Group.</t>
  </si>
  <si>
    <t>Dividend</t>
  </si>
  <si>
    <t>The Company has deferred an announcement on dividends pending the completion of the restructuring exercise.</t>
  </si>
  <si>
    <t>Lease and Hire Purchase Receivables</t>
  </si>
  <si>
    <t xml:space="preserve">Administrators to the holding company. </t>
  </si>
  <si>
    <t>normal operating overheads.</t>
  </si>
  <si>
    <t xml:space="preserve">In respect of the losses, the company continued to incur these losses from interest charged on outstanding loans other than </t>
  </si>
  <si>
    <t xml:space="preserve">The proposed Workout Proposal has been approved by Pengurusan Danaharta Nasional Berhad on 10 October, 2000 and the </t>
  </si>
  <si>
    <t>secured creditors on 27 October, 2000. The Scheme Papers was submitted to the Securities Commission("SC") and Foreign</t>
  </si>
  <si>
    <t xml:space="preserve">Investment Committee ("FIC") on 15 December, 2000. Further to this, the FIC and SC have given their approval to the </t>
  </si>
  <si>
    <t>non-recurrence of an exceptional gain of RM4.6 million arising from the disposal of City Finance Berhad to EON Finance</t>
  </si>
  <si>
    <t xml:space="preserve">Berhad in the 2nd Quarter. Furthermore, the 2nd Quarter of 2001 had recorded a significant increase in operating profits </t>
  </si>
  <si>
    <t>due mainly to the increase in sales for Hanaku Insurance Brokers Sdn. Bhd. during that quarter.</t>
  </si>
  <si>
    <t xml:space="preserve">There were no material changes in the quarterly results compared to the results of the preceding quarter other than the </t>
  </si>
  <si>
    <t>Proposals on 21 March, 2001 and 16 April, 2001 respectively. Operations are maintained at the current level pending</t>
  </si>
  <si>
    <t>implementation of the Workout Proposal.</t>
  </si>
  <si>
    <t>Remark: Resubmission only.</t>
  </si>
  <si>
    <t>Resubmission to replace previous 3rd Quarter announcement made on 31 May, 2001. Changes that</t>
  </si>
  <si>
    <t>has been made to this announcement can be detailed as follows:</t>
  </si>
  <si>
    <t>1) Correction of NTA per share figure for the as at preceding year end figure from -0.2490</t>
  </si>
  <si>
    <t>2) Re-classification of balance sheet items in the attached file.</t>
  </si>
  <si>
    <t>: AUSAMAL</t>
  </si>
  <si>
    <t>to -2.2450.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</si>
</sst>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5" fontId="4" fillId="0" borderId="0" xfId="0" applyNumberFormat="1" applyFont="1" applyAlignment="1" quotePrefix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4" borderId="1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8" xfId="0" applyFont="1" applyFill="1" applyBorder="1" applyAlignment="1" quotePrefix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14" fontId="6" fillId="4" borderId="8" xfId="0" applyNumberFormat="1" applyFont="1" applyFill="1" applyBorder="1" applyAlignment="1">
      <alignment horizontal="right"/>
    </xf>
    <xf numFmtId="14" fontId="6" fillId="5" borderId="8" xfId="0" applyNumberFormat="1" applyFont="1" applyFill="1" applyBorder="1" applyAlignment="1">
      <alignment horizontal="right"/>
    </xf>
    <xf numFmtId="14" fontId="6" fillId="3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7" fillId="4" borderId="8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7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4" borderId="8" xfId="15" applyNumberFormat="1" applyFon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4" fontId="0" fillId="5" borderId="8" xfId="15" applyNumberFormat="1" applyFont="1" applyFill="1" applyBorder="1" applyAlignment="1">
      <alignment/>
    </xf>
    <xf numFmtId="164" fontId="0" fillId="3" borderId="8" xfId="1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4" borderId="14" xfId="15" applyNumberFormat="1" applyFont="1" applyFill="1" applyBorder="1" applyAlignment="1">
      <alignment/>
    </xf>
    <xf numFmtId="164" fontId="0" fillId="5" borderId="14" xfId="15" applyNumberFormat="1" applyFont="1" applyFill="1" applyBorder="1" applyAlignment="1">
      <alignment/>
    </xf>
    <xf numFmtId="164" fontId="0" fillId="3" borderId="14" xfId="15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4" borderId="15" xfId="15" applyNumberFormat="1" applyFont="1" applyFill="1" applyBorder="1" applyAlignment="1">
      <alignment/>
    </xf>
    <xf numFmtId="164" fontId="0" fillId="5" borderId="6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 quotePrefix="1">
      <alignment horizontal="left"/>
    </xf>
    <xf numFmtId="164" fontId="0" fillId="4" borderId="6" xfId="15" applyNumberFormat="1" applyFont="1" applyFill="1" applyBorder="1" applyAlignment="1">
      <alignment/>
    </xf>
    <xf numFmtId="164" fontId="0" fillId="0" borderId="0" xfId="15" applyNumberFormat="1" applyAlignment="1">
      <alignment/>
    </xf>
    <xf numFmtId="0" fontId="1" fillId="0" borderId="0" xfId="0" applyFont="1" applyBorder="1" applyAlignment="1">
      <alignment/>
    </xf>
    <xf numFmtId="0" fontId="0" fillId="3" borderId="8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4" fontId="0" fillId="5" borderId="15" xfId="15" applyNumberFormat="1" applyFont="1" applyFill="1" applyBorder="1" applyAlignment="1">
      <alignment/>
    </xf>
    <xf numFmtId="164" fontId="0" fillId="3" borderId="15" xfId="15" applyNumberFormat="1" applyFont="1" applyFill="1" applyBorder="1" applyAlignment="1">
      <alignment/>
    </xf>
    <xf numFmtId="0" fontId="0" fillId="0" borderId="2" xfId="0" applyFont="1" applyBorder="1" applyAlignment="1" quotePrefix="1">
      <alignment horizontal="left"/>
    </xf>
    <xf numFmtId="164" fontId="0" fillId="4" borderId="15" xfId="15" applyNumberFormat="1" applyFont="1" applyFill="1" applyBorder="1" applyAlignment="1">
      <alignment horizontal="right"/>
    </xf>
    <xf numFmtId="164" fontId="0" fillId="5" borderId="15" xfId="15" applyNumberFormat="1" applyFont="1" applyFill="1" applyBorder="1" applyAlignment="1">
      <alignment horizontal="right"/>
    </xf>
    <xf numFmtId="164" fontId="0" fillId="3" borderId="15" xfId="15" applyNumberFormat="1" applyFont="1" applyFill="1" applyBorder="1" applyAlignment="1">
      <alignment horizontal="right"/>
    </xf>
    <xf numFmtId="0" fontId="0" fillId="0" borderId="5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165" fontId="0" fillId="4" borderId="6" xfId="15" applyNumberFormat="1" applyFont="1" applyFill="1" applyBorder="1" applyAlignment="1">
      <alignment/>
    </xf>
    <xf numFmtId="165" fontId="0" fillId="5" borderId="6" xfId="15" applyNumberFormat="1" applyFont="1" applyFill="1" applyBorder="1" applyAlignment="1">
      <alignment/>
    </xf>
    <xf numFmtId="165" fontId="0" fillId="3" borderId="6" xfId="15" applyNumberFormat="1" applyFont="1" applyFill="1" applyBorder="1" applyAlignment="1">
      <alignment/>
    </xf>
    <xf numFmtId="165" fontId="0" fillId="5" borderId="8" xfId="15" applyNumberFormat="1" applyFont="1" applyFill="1" applyBorder="1" applyAlignment="1">
      <alignment/>
    </xf>
    <xf numFmtId="43" fontId="0" fillId="4" borderId="8" xfId="15" applyNumberFormat="1" applyFont="1" applyFill="1" applyBorder="1" applyAlignment="1">
      <alignment/>
    </xf>
    <xf numFmtId="43" fontId="0" fillId="3" borderId="8" xfId="15" applyNumberFormat="1" applyFont="1" applyFill="1" applyBorder="1" applyAlignment="1">
      <alignment/>
    </xf>
    <xf numFmtId="43" fontId="0" fillId="5" borderId="8" xfId="15" applyFont="1" applyFill="1" applyBorder="1" applyAlignment="1">
      <alignment/>
    </xf>
    <xf numFmtId="0" fontId="0" fillId="0" borderId="9" xfId="0" applyFont="1" applyBorder="1" applyAlignment="1" quotePrefix="1">
      <alignment horizontal="left"/>
    </xf>
    <xf numFmtId="165" fontId="0" fillId="4" borderId="14" xfId="15" applyNumberFormat="1" applyFont="1" applyFill="1" applyBorder="1" applyAlignment="1">
      <alignment/>
    </xf>
    <xf numFmtId="165" fontId="0" fillId="5" borderId="14" xfId="15" applyNumberFormat="1" applyFont="1" applyFill="1" applyBorder="1" applyAlignment="1">
      <alignment/>
    </xf>
    <xf numFmtId="165" fontId="0" fillId="3" borderId="14" xfId="15" applyNumberFormat="1" applyFont="1" applyFill="1" applyBorder="1" applyAlignment="1">
      <alignment/>
    </xf>
    <xf numFmtId="0" fontId="0" fillId="0" borderId="1" xfId="0" applyFont="1" applyBorder="1" applyAlignment="1" quotePrefix="1">
      <alignment horizontal="left"/>
    </xf>
    <xf numFmtId="165" fontId="0" fillId="4" borderId="15" xfId="15" applyNumberFormat="1" applyFont="1" applyFill="1" applyBorder="1" applyAlignment="1">
      <alignment/>
    </xf>
    <xf numFmtId="165" fontId="0" fillId="5" borderId="15" xfId="15" applyNumberFormat="1" applyFont="1" applyFill="1" applyBorder="1" applyAlignment="1">
      <alignment/>
    </xf>
    <xf numFmtId="165" fontId="0" fillId="3" borderId="15" xfId="15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164" fontId="0" fillId="3" borderId="0" xfId="15" applyNumberFormat="1" applyFont="1" applyFill="1" applyAlignment="1">
      <alignment/>
    </xf>
    <xf numFmtId="165" fontId="0" fillId="3" borderId="0" xfId="15" applyNumberFormat="1" applyFont="1" applyFill="1" applyAlignment="1">
      <alignment/>
    </xf>
    <xf numFmtId="164" fontId="0" fillId="4" borderId="4" xfId="15" applyNumberFormat="1" applyFont="1" applyFill="1" applyBorder="1" applyAlignment="1">
      <alignment horizontal="centerContinuous"/>
    </xf>
    <xf numFmtId="165" fontId="0" fillId="4" borderId="10" xfId="15" applyNumberFormat="1" applyFont="1" applyFill="1" applyBorder="1" applyAlignment="1">
      <alignment horizontal="centerContinuous"/>
    </xf>
    <xf numFmtId="164" fontId="0" fillId="5" borderId="4" xfId="15" applyNumberFormat="1" applyFont="1" applyFill="1" applyBorder="1" applyAlignment="1">
      <alignment horizontal="centerContinuous"/>
    </xf>
    <xf numFmtId="165" fontId="0" fillId="5" borderId="10" xfId="15" applyNumberFormat="1" applyFont="1" applyFill="1" applyBorder="1" applyAlignment="1">
      <alignment horizontal="centerContinuous"/>
    </xf>
    <xf numFmtId="164" fontId="0" fillId="3" borderId="4" xfId="15" applyNumberFormat="1" applyFont="1" applyFill="1" applyBorder="1" applyAlignment="1">
      <alignment horizontal="centerContinuous"/>
    </xf>
    <xf numFmtId="165" fontId="0" fillId="3" borderId="10" xfId="15" applyNumberFormat="1" applyFont="1" applyFill="1" applyBorder="1" applyAlignment="1">
      <alignment horizontal="centerContinuous"/>
    </xf>
    <xf numFmtId="164" fontId="0" fillId="4" borderId="9" xfId="15" applyNumberFormat="1" applyFont="1" applyFill="1" applyBorder="1" applyAlignment="1">
      <alignment horizontal="centerContinuous"/>
    </xf>
    <xf numFmtId="165" fontId="0" fillId="4" borderId="13" xfId="15" applyNumberFormat="1" applyFont="1" applyFill="1" applyBorder="1" applyAlignment="1">
      <alignment horizontal="centerContinuous"/>
    </xf>
    <xf numFmtId="164" fontId="0" fillId="5" borderId="9" xfId="15" applyNumberFormat="1" applyFont="1" applyFill="1" applyBorder="1" applyAlignment="1">
      <alignment horizontal="centerContinuous"/>
    </xf>
    <xf numFmtId="164" fontId="0" fillId="5" borderId="13" xfId="15" applyNumberFormat="1" applyFont="1" applyFill="1" applyBorder="1" applyAlignment="1">
      <alignment horizontal="centerContinuous"/>
    </xf>
    <xf numFmtId="164" fontId="0" fillId="3" borderId="9" xfId="15" applyNumberFormat="1" applyFont="1" applyFill="1" applyBorder="1" applyAlignment="1">
      <alignment horizontal="centerContinuous"/>
    </xf>
    <xf numFmtId="165" fontId="0" fillId="3" borderId="13" xfId="15" applyNumberFormat="1" applyFont="1" applyFill="1" applyBorder="1" applyAlignment="1">
      <alignment horizontal="centerContinuous"/>
    </xf>
    <xf numFmtId="0" fontId="0" fillId="0" borderId="6" xfId="0" applyFont="1" applyBorder="1" applyAlignment="1" quotePrefix="1">
      <alignment horizontal="left"/>
    </xf>
    <xf numFmtId="166" fontId="0" fillId="4" borderId="4" xfId="15" applyNumberFormat="1" applyFont="1" applyFill="1" applyBorder="1" applyAlignment="1">
      <alignment/>
    </xf>
    <xf numFmtId="165" fontId="0" fillId="4" borderId="10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5" fontId="0" fillId="5" borderId="10" xfId="15" applyNumberFormat="1" applyFont="1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165" fontId="0" fillId="3" borderId="10" xfId="15" applyNumberFormat="1" applyFont="1" applyFill="1" applyBorder="1" applyAlignment="1">
      <alignment/>
    </xf>
    <xf numFmtId="0" fontId="0" fillId="0" borderId="14" xfId="0" applyFont="1" applyBorder="1" applyAlignment="1" quotePrefix="1">
      <alignment horizontal="left"/>
    </xf>
    <xf numFmtId="164" fontId="0" fillId="4" borderId="9" xfId="15" applyNumberFormat="1" applyFont="1" applyFill="1" applyBorder="1" applyAlignment="1">
      <alignment/>
    </xf>
    <xf numFmtId="164" fontId="0" fillId="4" borderId="13" xfId="15" applyNumberFormat="1" applyFont="1" applyFill="1" applyBorder="1" applyAlignment="1">
      <alignment/>
    </xf>
    <xf numFmtId="164" fontId="0" fillId="5" borderId="9" xfId="15" applyNumberFormat="1" applyFont="1" applyFill="1" applyBorder="1" applyAlignment="1">
      <alignment/>
    </xf>
    <xf numFmtId="164" fontId="0" fillId="5" borderId="13" xfId="15" applyNumberFormat="1" applyFont="1" applyFill="1" applyBorder="1" applyAlignment="1">
      <alignment/>
    </xf>
    <xf numFmtId="164" fontId="0" fillId="3" borderId="9" xfId="15" applyNumberFormat="1" applyFont="1" applyFill="1" applyBorder="1" applyAlignment="1">
      <alignment/>
    </xf>
    <xf numFmtId="164" fontId="0" fillId="3" borderId="13" xfId="15" applyNumberFormat="1" applyFont="1" applyFill="1" applyBorder="1" applyAlignment="1">
      <alignment/>
    </xf>
    <xf numFmtId="43" fontId="0" fillId="4" borderId="1" xfId="15" applyNumberFormat="1" applyFont="1" applyFill="1" applyBorder="1" applyAlignment="1">
      <alignment/>
    </xf>
    <xf numFmtId="164" fontId="0" fillId="4" borderId="3" xfId="15" applyNumberFormat="1" applyFont="1" applyFill="1" applyBorder="1" applyAlignment="1">
      <alignment/>
    </xf>
    <xf numFmtId="164" fontId="0" fillId="5" borderId="1" xfId="15" applyNumberFormat="1" applyFont="1" applyFill="1" applyBorder="1" applyAlignment="1">
      <alignment/>
    </xf>
    <xf numFmtId="164" fontId="0" fillId="5" borderId="3" xfId="15" applyNumberFormat="1" applyFont="1" applyFill="1" applyBorder="1" applyAlignment="1">
      <alignment/>
    </xf>
    <xf numFmtId="43" fontId="0" fillId="3" borderId="1" xfId="15" applyNumberFormat="1" applyFon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" fillId="3" borderId="0" xfId="15" applyNumberFormat="1" applyFont="1" applyFill="1" applyAlignment="1">
      <alignment/>
    </xf>
    <xf numFmtId="164" fontId="1" fillId="0" borderId="1" xfId="15" applyNumberFormat="1" applyFont="1" applyFill="1" applyBorder="1" applyAlignment="1">
      <alignment horizontal="centerContinuous"/>
    </xf>
    <xf numFmtId="164" fontId="1" fillId="0" borderId="2" xfId="15" applyNumberFormat="1" applyFont="1" applyFill="1" applyBorder="1" applyAlignment="1">
      <alignment horizontal="centerContinuous"/>
    </xf>
    <xf numFmtId="164" fontId="1" fillId="0" borderId="3" xfId="15" applyNumberFormat="1" applyFont="1" applyFill="1" applyBorder="1" applyAlignment="1">
      <alignment horizontal="centerContinuous"/>
    </xf>
    <xf numFmtId="0" fontId="6" fillId="3" borderId="0" xfId="0" applyFont="1" applyFill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164" fontId="1" fillId="0" borderId="16" xfId="15" applyNumberFormat="1" applyFont="1" applyBorder="1" applyAlignment="1">
      <alignment/>
    </xf>
    <xf numFmtId="164" fontId="1" fillId="3" borderId="16" xfId="15" applyNumberFormat="1" applyFont="1" applyFill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3" borderId="2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3" borderId="0" xfId="15" applyNumberFormat="1" applyFont="1" applyFill="1" applyBorder="1" applyAlignment="1">
      <alignment/>
    </xf>
    <xf numFmtId="166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164" fontId="0" fillId="4" borderId="0" xfId="15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0" fillId="0" borderId="2" xfId="0" applyNumberFormat="1" applyBorder="1" applyAlignment="1">
      <alignment/>
    </xf>
    <xf numFmtId="38" fontId="0" fillId="0" borderId="2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57150</xdr:rowOff>
    </xdr:from>
    <xdr:to>
      <xdr:col>7</xdr:col>
      <xdr:colOff>95250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305175" y="3562350"/>
          <a:ext cx="6667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57150</xdr:rowOff>
    </xdr:from>
    <xdr:to>
      <xdr:col>7</xdr:col>
      <xdr:colOff>95250</xdr:colOff>
      <xdr:row>21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3305175" y="4362450"/>
          <a:ext cx="6667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B%20Consol%2003.2001(amend-0107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Con B&amp;S Journals"/>
      <sheetName val="Con P&amp;L Journals"/>
      <sheetName val="Journals "/>
      <sheetName val="KLSE PL"/>
      <sheetName val="KLSE BS"/>
      <sheetName val="KLSE Notes"/>
    </sheetNames>
    <sheetDataSet>
      <sheetData sheetId="0">
        <row r="8">
          <cell r="H8">
            <v>188275313</v>
          </cell>
        </row>
        <row r="10">
          <cell r="H10">
            <v>428676038</v>
          </cell>
        </row>
        <row r="11">
          <cell r="H11">
            <v>1095530</v>
          </cell>
        </row>
        <row r="12">
          <cell r="H12">
            <v>-1093090865.99</v>
          </cell>
        </row>
        <row r="13">
          <cell r="H13">
            <v>-475043984.99</v>
          </cell>
        </row>
        <row r="14">
          <cell r="H14">
            <v>0</v>
          </cell>
        </row>
        <row r="17">
          <cell r="H17">
            <v>11921266</v>
          </cell>
        </row>
        <row r="18">
          <cell r="H18">
            <v>6206138.4399999995</v>
          </cell>
        </row>
        <row r="22">
          <cell r="H22">
            <v>8125416.449999999</v>
          </cell>
        </row>
        <row r="23">
          <cell r="H23">
            <v>653078</v>
          </cell>
        </row>
        <row r="25">
          <cell r="H25">
            <v>10500189</v>
          </cell>
        </row>
        <row r="26">
          <cell r="H26">
            <v>196472523</v>
          </cell>
        </row>
        <row r="27">
          <cell r="H27">
            <v>48086000</v>
          </cell>
        </row>
        <row r="31">
          <cell r="H31">
            <v>217512286.88</v>
          </cell>
        </row>
        <row r="32">
          <cell r="H32">
            <v>4958415</v>
          </cell>
        </row>
        <row r="33">
          <cell r="H33">
            <v>33309597.08</v>
          </cell>
        </row>
        <row r="34">
          <cell r="H34">
            <v>13401874.71</v>
          </cell>
        </row>
        <row r="38">
          <cell r="H38">
            <v>1114156</v>
          </cell>
        </row>
        <row r="39">
          <cell r="H39">
            <v>27073737</v>
          </cell>
        </row>
        <row r="40">
          <cell r="H40">
            <v>6451220.68</v>
          </cell>
        </row>
        <row r="48">
          <cell r="H48">
            <v>64418723.49</v>
          </cell>
        </row>
        <row r="49">
          <cell r="H49">
            <v>318045318.98999995</v>
          </cell>
        </row>
        <row r="50">
          <cell r="H50">
            <v>582803388.64</v>
          </cell>
        </row>
        <row r="51">
          <cell r="H51">
            <v>311584</v>
          </cell>
        </row>
        <row r="56">
          <cell r="H56">
            <v>558874</v>
          </cell>
        </row>
        <row r="57">
          <cell r="H57">
            <v>171624.34</v>
          </cell>
        </row>
        <row r="58">
          <cell r="H58">
            <v>24382600.1</v>
          </cell>
        </row>
        <row r="59">
          <cell r="H59">
            <v>33882960.39</v>
          </cell>
        </row>
        <row r="60">
          <cell r="H60">
            <v>0</v>
          </cell>
        </row>
        <row r="66">
          <cell r="H66">
            <v>-0.39999999990686774</v>
          </cell>
        </row>
        <row r="94">
          <cell r="B94">
            <v>261894550.65</v>
          </cell>
        </row>
        <row r="95">
          <cell r="B95">
            <v>272895538.23000014</v>
          </cell>
        </row>
        <row r="96">
          <cell r="B96">
            <v>3285176.2</v>
          </cell>
        </row>
        <row r="97">
          <cell r="B97">
            <v>14200646</v>
          </cell>
        </row>
        <row r="98">
          <cell r="B98">
            <v>15382582.71999979</v>
          </cell>
        </row>
        <row r="114">
          <cell r="C114">
            <v>44289181.61000001</v>
          </cell>
        </row>
      </sheetData>
      <sheetData sheetId="1">
        <row r="8">
          <cell r="H8">
            <v>31406469</v>
          </cell>
        </row>
        <row r="22">
          <cell r="H22">
            <v>2019401.4</v>
          </cell>
        </row>
        <row r="31">
          <cell r="H31">
            <v>-1273908.8800000008</v>
          </cell>
        </row>
        <row r="33">
          <cell r="H33">
            <v>46284724.3</v>
          </cell>
        </row>
        <row r="34">
          <cell r="H34">
            <v>1029208.65</v>
          </cell>
        </row>
        <row r="39">
          <cell r="H39">
            <v>4565308</v>
          </cell>
        </row>
        <row r="42">
          <cell r="H42">
            <v>0</v>
          </cell>
        </row>
        <row r="45">
          <cell r="H45">
            <v>8514618</v>
          </cell>
        </row>
        <row r="48">
          <cell r="H48">
            <v>0</v>
          </cell>
        </row>
        <row r="51">
          <cell r="H51">
            <v>0</v>
          </cell>
        </row>
        <row r="80">
          <cell r="B80">
            <v>840000</v>
          </cell>
          <cell r="C80">
            <v>-13498416.66</v>
          </cell>
        </row>
        <row r="81">
          <cell r="B81">
            <v>13102862</v>
          </cell>
          <cell r="C81">
            <v>-24550288.619999997</v>
          </cell>
        </row>
        <row r="82">
          <cell r="B82">
            <v>6834997</v>
          </cell>
          <cell r="C82">
            <v>-621142.8</v>
          </cell>
        </row>
        <row r="83">
          <cell r="B83">
            <v>457239</v>
          </cell>
          <cell r="C83">
            <v>-4966386</v>
          </cell>
        </row>
        <row r="84">
          <cell r="B84">
            <v>10171371</v>
          </cell>
          <cell r="C84">
            <v>-386299.75</v>
          </cell>
        </row>
      </sheetData>
      <sheetData sheetId="5">
        <row r="46">
          <cell r="G46">
            <v>0.3079999999999927</v>
          </cell>
          <cell r="I46">
            <v>4565.308</v>
          </cell>
        </row>
        <row r="59">
          <cell r="G59">
            <v>-7635.618</v>
          </cell>
          <cell r="I59">
            <v>-8514.618</v>
          </cell>
        </row>
      </sheetData>
      <sheetData sheetId="6">
        <row r="29">
          <cell r="F29">
            <v>616686.3490299999</v>
          </cell>
        </row>
        <row r="48">
          <cell r="I48">
            <v>24711492</v>
          </cell>
        </row>
        <row r="50">
          <cell r="I50">
            <v>671919</v>
          </cell>
        </row>
        <row r="59">
          <cell r="F59">
            <v>6206.13844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49"/>
  <sheetViews>
    <sheetView tabSelected="1" view="pageBreakPreview" zoomScale="60" zoomScaleNormal="80" workbookViewId="0" topLeftCell="A69">
      <selection activeCell="H94" sqref="H94"/>
    </sheetView>
  </sheetViews>
  <sheetFormatPr defaultColWidth="9.140625" defaultRowHeight="12.75"/>
  <cols>
    <col min="1" max="1" width="3.00390625" style="0" customWidth="1"/>
    <col min="2" max="2" width="4.00390625" style="1" customWidth="1"/>
    <col min="3" max="3" width="1.8515625" style="1" customWidth="1"/>
    <col min="4" max="4" width="2.57421875" style="1" customWidth="1"/>
    <col min="5" max="5" width="13.00390625" style="1" customWidth="1"/>
    <col min="6" max="6" width="11.28125" style="1" customWidth="1"/>
    <col min="7" max="10" width="13.421875" style="7" customWidth="1"/>
    <col min="11" max="11" width="2.140625" style="1" customWidth="1"/>
    <col min="12" max="12" width="7.00390625" style="1" customWidth="1"/>
    <col min="13" max="14" width="12.7109375" style="1" customWidth="1"/>
    <col min="15" max="16" width="5.7109375" style="1" customWidth="1"/>
    <col min="17" max="17" width="6.421875" style="1" customWidth="1"/>
    <col min="18" max="18" width="10.57421875" style="0" customWidth="1"/>
    <col min="19" max="19" width="10.7109375" style="0" customWidth="1"/>
  </cols>
  <sheetData>
    <row r="3" spans="3:10" ht="30" customHeight="1">
      <c r="C3" s="2"/>
      <c r="D3" s="3"/>
      <c r="E3" s="4" t="s">
        <v>0</v>
      </c>
      <c r="F3" s="3"/>
      <c r="G3" s="5"/>
      <c r="H3" s="5"/>
      <c r="I3" s="5"/>
      <c r="J3" s="6"/>
    </row>
    <row r="5" spans="2:6" ht="15.75">
      <c r="B5" s="7"/>
      <c r="C5" s="7"/>
      <c r="D5" s="7"/>
      <c r="E5" s="7"/>
      <c r="F5" s="7"/>
    </row>
    <row r="6" spans="2:7" ht="15.75">
      <c r="B6" s="7"/>
      <c r="D6" s="7" t="s">
        <v>1</v>
      </c>
      <c r="E6" s="7"/>
      <c r="F6" s="7"/>
      <c r="G6" s="7" t="s">
        <v>2</v>
      </c>
    </row>
    <row r="7" spans="2:6" ht="15.75">
      <c r="B7" s="7"/>
      <c r="D7" s="7" t="s">
        <v>3</v>
      </c>
      <c r="E7" s="7"/>
      <c r="F7" s="7"/>
    </row>
    <row r="8" spans="2:7" ht="15.75">
      <c r="B8" s="7"/>
      <c r="D8" s="7" t="s">
        <v>4</v>
      </c>
      <c r="E8" s="7"/>
      <c r="F8" s="7"/>
      <c r="G8" s="7" t="s">
        <v>5</v>
      </c>
    </row>
    <row r="9" spans="2:7" ht="15.75">
      <c r="B9" s="7"/>
      <c r="C9" s="7" t="s">
        <v>6</v>
      </c>
      <c r="D9" s="7" t="s">
        <v>7</v>
      </c>
      <c r="E9" s="7"/>
      <c r="F9" s="7"/>
      <c r="G9" s="8" t="s">
        <v>8</v>
      </c>
    </row>
    <row r="10" spans="2:7" ht="15.75">
      <c r="B10" s="7"/>
      <c r="C10" s="7" t="s">
        <v>6</v>
      </c>
      <c r="D10" s="7" t="s">
        <v>9</v>
      </c>
      <c r="E10" s="7"/>
      <c r="F10" s="7"/>
      <c r="G10" s="7" t="s">
        <v>262</v>
      </c>
    </row>
    <row r="11" spans="2:7" ht="15.75">
      <c r="B11" s="7"/>
      <c r="C11" s="7" t="s">
        <v>10</v>
      </c>
      <c r="D11" s="7" t="s">
        <v>11</v>
      </c>
      <c r="E11" s="7"/>
      <c r="F11" s="7"/>
      <c r="G11" s="9" t="s">
        <v>12</v>
      </c>
    </row>
    <row r="12" spans="2:7" ht="15.75">
      <c r="B12" s="7"/>
      <c r="C12" s="7" t="s">
        <v>6</v>
      </c>
      <c r="D12" s="7" t="s">
        <v>13</v>
      </c>
      <c r="E12" s="7"/>
      <c r="F12" s="7"/>
      <c r="G12" s="7" t="s">
        <v>14</v>
      </c>
    </row>
    <row r="13" spans="2:7" ht="15.75">
      <c r="B13" s="7"/>
      <c r="C13" s="7" t="s">
        <v>6</v>
      </c>
      <c r="D13" s="7" t="s">
        <v>15</v>
      </c>
      <c r="E13" s="7"/>
      <c r="F13" s="7"/>
      <c r="G13" s="7" t="s">
        <v>16</v>
      </c>
    </row>
    <row r="14" spans="2:6" ht="15.75">
      <c r="B14" s="7"/>
      <c r="C14" s="7"/>
      <c r="D14" s="7"/>
      <c r="E14" s="7"/>
      <c r="F14" s="7"/>
    </row>
    <row r="15" spans="2:6" ht="15.75">
      <c r="B15" s="7"/>
      <c r="C15" s="7"/>
      <c r="D15" s="7"/>
      <c r="E15" s="7"/>
      <c r="F15" s="7"/>
    </row>
    <row r="16" spans="2:6" ht="15.75">
      <c r="B16" s="7"/>
      <c r="C16" s="7" t="s">
        <v>6</v>
      </c>
      <c r="D16" s="8" t="s">
        <v>17</v>
      </c>
      <c r="E16" s="7"/>
      <c r="F16" s="10" t="s">
        <v>18</v>
      </c>
    </row>
    <row r="17" spans="2:6" ht="15.75">
      <c r="B17" s="7"/>
      <c r="C17" s="7"/>
      <c r="D17" s="8"/>
      <c r="E17" s="7"/>
      <c r="F17" s="7"/>
    </row>
    <row r="18" spans="2:10" ht="15.75">
      <c r="B18" s="7"/>
      <c r="C18" s="7" t="s">
        <v>6</v>
      </c>
      <c r="D18" s="8" t="s">
        <v>19</v>
      </c>
      <c r="E18" s="7"/>
      <c r="F18" s="11" t="s">
        <v>20</v>
      </c>
      <c r="G18" s="12" t="s">
        <v>21</v>
      </c>
      <c r="H18" s="12" t="s">
        <v>22</v>
      </c>
      <c r="I18" s="12" t="s">
        <v>23</v>
      </c>
      <c r="J18" s="13" t="s">
        <v>24</v>
      </c>
    </row>
    <row r="19" spans="2:7" ht="15.75">
      <c r="B19" s="7"/>
      <c r="C19" s="7"/>
      <c r="D19" s="8"/>
      <c r="E19" s="7"/>
      <c r="F19" s="14"/>
      <c r="G19" s="14"/>
    </row>
    <row r="20" spans="2:7" ht="15.75">
      <c r="B20" s="7"/>
      <c r="C20" s="7"/>
      <c r="D20" s="8"/>
      <c r="E20" s="7" t="s">
        <v>25</v>
      </c>
      <c r="F20" s="14"/>
      <c r="G20" s="14"/>
    </row>
    <row r="21" spans="2:7" ht="15.75">
      <c r="B21" s="7"/>
      <c r="C21" s="7"/>
      <c r="D21" s="8"/>
      <c r="E21" s="7"/>
      <c r="F21" s="14" t="s">
        <v>26</v>
      </c>
      <c r="G21" s="14"/>
    </row>
    <row r="22" spans="2:9" ht="15.75">
      <c r="B22" s="7"/>
      <c r="C22" s="7"/>
      <c r="D22" s="8"/>
      <c r="E22" s="7" t="s">
        <v>27</v>
      </c>
      <c r="F22" s="7" t="s">
        <v>28</v>
      </c>
      <c r="G22" s="15"/>
      <c r="H22" s="16" t="s">
        <v>29</v>
      </c>
      <c r="I22" s="16"/>
    </row>
    <row r="23" spans="2:14" ht="15.75">
      <c r="B23" s="7"/>
      <c r="C23" s="7"/>
      <c r="D23" s="7"/>
      <c r="E23" s="7"/>
      <c r="F23" s="7"/>
      <c r="M23" s="17"/>
      <c r="N23" s="17"/>
    </row>
    <row r="24" spans="2:14" ht="15.75">
      <c r="B24" s="8" t="s">
        <v>30</v>
      </c>
      <c r="C24" s="7"/>
      <c r="D24" s="7"/>
      <c r="E24" s="7"/>
      <c r="F24" s="7"/>
      <c r="M24" s="18" t="s">
        <v>31</v>
      </c>
      <c r="N24" s="19"/>
    </row>
    <row r="25" spans="2:14" ht="15.75">
      <c r="B25" s="7"/>
      <c r="C25" s="7"/>
      <c r="D25" s="7"/>
      <c r="E25" s="7"/>
      <c r="F25" s="7"/>
      <c r="M25" s="17"/>
      <c r="N25" s="17"/>
    </row>
    <row r="26" spans="2:14" ht="15.75">
      <c r="B26" s="20"/>
      <c r="C26" s="21"/>
      <c r="D26" s="21"/>
      <c r="E26" s="21"/>
      <c r="F26" s="21"/>
      <c r="G26" s="22" t="s">
        <v>32</v>
      </c>
      <c r="H26" s="23"/>
      <c r="I26" s="24" t="s">
        <v>33</v>
      </c>
      <c r="J26" s="25"/>
      <c r="M26" s="26" t="s">
        <v>34</v>
      </c>
      <c r="N26" s="26" t="s">
        <v>35</v>
      </c>
    </row>
    <row r="27" spans="2:14" ht="12.75">
      <c r="B27" s="27"/>
      <c r="C27" s="28"/>
      <c r="D27" s="28"/>
      <c r="E27" s="28"/>
      <c r="F27" s="28"/>
      <c r="G27" s="29" t="s">
        <v>36</v>
      </c>
      <c r="H27" s="29" t="s">
        <v>35</v>
      </c>
      <c r="I27" s="30" t="s">
        <v>36</v>
      </c>
      <c r="J27" s="30" t="s">
        <v>35</v>
      </c>
      <c r="M27" s="31" t="s">
        <v>37</v>
      </c>
      <c r="N27" s="31" t="s">
        <v>38</v>
      </c>
    </row>
    <row r="28" spans="2:14" ht="12.75">
      <c r="B28" s="27"/>
      <c r="C28" s="28"/>
      <c r="D28" s="28"/>
      <c r="E28" s="28"/>
      <c r="F28" s="28"/>
      <c r="G28" s="32" t="s">
        <v>39</v>
      </c>
      <c r="H28" s="33" t="s">
        <v>38</v>
      </c>
      <c r="I28" s="34" t="s">
        <v>40</v>
      </c>
      <c r="J28" s="34" t="s">
        <v>38</v>
      </c>
      <c r="M28" s="31" t="s">
        <v>41</v>
      </c>
      <c r="N28" s="31" t="s">
        <v>42</v>
      </c>
    </row>
    <row r="29" spans="2:14" ht="12.75">
      <c r="B29" s="27"/>
      <c r="C29" s="28"/>
      <c r="D29" s="28"/>
      <c r="E29" s="28"/>
      <c r="F29" s="28"/>
      <c r="G29" s="35"/>
      <c r="H29" s="33" t="s">
        <v>43</v>
      </c>
      <c r="I29" s="36"/>
      <c r="J29" s="34" t="s">
        <v>44</v>
      </c>
      <c r="M29" s="31" t="s">
        <v>43</v>
      </c>
      <c r="N29" s="31" t="s">
        <v>45</v>
      </c>
    </row>
    <row r="30" spans="2:14" ht="12.75">
      <c r="B30" s="27"/>
      <c r="C30" s="28"/>
      <c r="D30" s="28"/>
      <c r="E30" s="28"/>
      <c r="F30" s="28"/>
      <c r="G30" s="35"/>
      <c r="H30" s="33"/>
      <c r="I30" s="36"/>
      <c r="J30" s="34"/>
      <c r="M30" s="37"/>
      <c r="N30" s="37"/>
    </row>
    <row r="31" spans="2:14" ht="12.75">
      <c r="B31" s="27"/>
      <c r="C31" s="28"/>
      <c r="D31" s="28"/>
      <c r="E31" s="28"/>
      <c r="F31" s="28"/>
      <c r="G31" s="35"/>
      <c r="H31" s="33"/>
      <c r="I31" s="36"/>
      <c r="J31" s="34"/>
      <c r="M31" s="37"/>
      <c r="N31" s="37"/>
    </row>
    <row r="32" spans="2:14" ht="12.75">
      <c r="B32" s="27"/>
      <c r="C32" s="28"/>
      <c r="D32" s="28"/>
      <c r="E32" s="28"/>
      <c r="F32" s="28"/>
      <c r="G32" s="38">
        <v>36981</v>
      </c>
      <c r="H32" s="38">
        <v>36616</v>
      </c>
      <c r="I32" s="39">
        <f>+G32</f>
        <v>36981</v>
      </c>
      <c r="J32" s="39">
        <f>+H32</f>
        <v>36616</v>
      </c>
      <c r="M32" s="40"/>
      <c r="N32" s="40"/>
    </row>
    <row r="33" spans="2:14" ht="12.75">
      <c r="B33" s="41"/>
      <c r="C33" s="28"/>
      <c r="D33" s="28"/>
      <c r="E33" s="28"/>
      <c r="F33" s="28"/>
      <c r="G33" s="42" t="s">
        <v>46</v>
      </c>
      <c r="H33" s="42" t="s">
        <v>46</v>
      </c>
      <c r="I33" s="43" t="s">
        <v>46</v>
      </c>
      <c r="J33" s="43" t="s">
        <v>46</v>
      </c>
      <c r="M33" s="44"/>
      <c r="N33" s="44"/>
    </row>
    <row r="34" spans="2:14" ht="12.75">
      <c r="B34" s="20"/>
      <c r="C34" s="21"/>
      <c r="D34" s="45"/>
      <c r="E34" s="21"/>
      <c r="F34" s="21"/>
      <c r="G34" s="46"/>
      <c r="H34" s="46"/>
      <c r="I34" s="47"/>
      <c r="J34" s="47"/>
      <c r="M34" s="48"/>
      <c r="N34" s="48"/>
    </row>
    <row r="35" spans="2:14" ht="12.75">
      <c r="B35" s="49" t="s">
        <v>47</v>
      </c>
      <c r="C35" s="50" t="s">
        <v>48</v>
      </c>
      <c r="D35" s="51"/>
      <c r="E35" s="50" t="s">
        <v>49</v>
      </c>
      <c r="F35" s="50"/>
      <c r="G35" s="52">
        <f>I35-M35</f>
        <v>8430.469000000001</v>
      </c>
      <c r="H35" s="53">
        <v>7226</v>
      </c>
      <c r="I35" s="54">
        <f>'[1]Con P&amp;L'!H8/1000</f>
        <v>31406.469</v>
      </c>
      <c r="J35" s="54">
        <v>24049</v>
      </c>
      <c r="M35" s="55">
        <v>22976</v>
      </c>
      <c r="N35" s="55"/>
    </row>
    <row r="36" spans="2:14" ht="12.75">
      <c r="B36" s="41"/>
      <c r="C36" s="56"/>
      <c r="D36" s="57"/>
      <c r="E36" s="56"/>
      <c r="F36" s="56"/>
      <c r="G36" s="58"/>
      <c r="H36" s="58"/>
      <c r="I36" s="59"/>
      <c r="J36" s="59"/>
      <c r="M36" s="60"/>
      <c r="N36" s="60"/>
    </row>
    <row r="37" spans="2:19" ht="12.75">
      <c r="B37" s="41"/>
      <c r="C37" s="61" t="s">
        <v>50</v>
      </c>
      <c r="D37" s="57"/>
      <c r="E37" s="61" t="s">
        <v>51</v>
      </c>
      <c r="F37" s="61"/>
      <c r="G37" s="52">
        <f>H37-M37</f>
        <v>0</v>
      </c>
      <c r="H37" s="52">
        <v>0</v>
      </c>
      <c r="I37" s="59">
        <v>0</v>
      </c>
      <c r="J37" s="59">
        <v>0</v>
      </c>
      <c r="M37" s="60">
        <v>0</v>
      </c>
      <c r="N37" s="60"/>
      <c r="R37" t="s">
        <v>52</v>
      </c>
      <c r="S37" t="s">
        <v>53</v>
      </c>
    </row>
    <row r="38" spans="2:19" ht="12.75">
      <c r="B38" s="20"/>
      <c r="C38" s="21" t="s">
        <v>54</v>
      </c>
      <c r="D38" s="45"/>
      <c r="E38" s="21" t="s">
        <v>55</v>
      </c>
      <c r="F38" s="21"/>
      <c r="G38" s="62">
        <f>I38-M38</f>
        <v>1467.4014</v>
      </c>
      <c r="H38" s="62">
        <v>299</v>
      </c>
      <c r="I38" s="63">
        <f>'[1]Con P&amp;L'!H22/1000</f>
        <v>2019.4014</v>
      </c>
      <c r="J38" s="63">
        <v>766</v>
      </c>
      <c r="M38" s="64">
        <v>552</v>
      </c>
      <c r="N38" s="64"/>
      <c r="R38" s="65" t="s">
        <v>56</v>
      </c>
      <c r="S38" s="65" t="s">
        <v>56</v>
      </c>
    </row>
    <row r="39" spans="2:14" ht="12.75">
      <c r="B39" s="66" t="s">
        <v>57</v>
      </c>
      <c r="C39" s="21" t="s">
        <v>48</v>
      </c>
      <c r="D39" s="45"/>
      <c r="E39" s="21" t="s">
        <v>58</v>
      </c>
      <c r="F39" s="21"/>
      <c r="G39" s="67"/>
      <c r="H39" s="67"/>
      <c r="I39" s="63"/>
      <c r="J39" s="63"/>
      <c r="M39" s="64"/>
      <c r="N39" s="64"/>
    </row>
    <row r="40" spans="2:19" ht="12.75">
      <c r="B40" s="27"/>
      <c r="C40" s="50"/>
      <c r="D40" s="51"/>
      <c r="E40" s="50" t="s">
        <v>59</v>
      </c>
      <c r="F40" s="50"/>
      <c r="G40" s="52"/>
      <c r="H40" s="52"/>
      <c r="I40" s="54"/>
      <c r="J40" s="54"/>
      <c r="M40" s="55"/>
      <c r="N40" s="55"/>
      <c r="R40" s="68">
        <v>4416</v>
      </c>
      <c r="S40" s="68">
        <f>+R40/2</f>
        <v>2208</v>
      </c>
    </row>
    <row r="41" spans="2:19" ht="12.75">
      <c r="B41" s="27"/>
      <c r="C41" s="50"/>
      <c r="D41" s="51"/>
      <c r="E41" s="50" t="s">
        <v>60</v>
      </c>
      <c r="F41" s="50"/>
      <c r="G41" s="52"/>
      <c r="H41" s="52"/>
      <c r="I41" s="54"/>
      <c r="J41" s="54"/>
      <c r="M41" s="55"/>
      <c r="N41" s="55"/>
      <c r="Q41" s="1" t="s">
        <v>61</v>
      </c>
      <c r="R41" s="68">
        <v>29473</v>
      </c>
      <c r="S41" s="68">
        <f aca="true" t="shared" si="0" ref="S41:S46">+R41/2</f>
        <v>14736.5</v>
      </c>
    </row>
    <row r="42" spans="2:19" ht="12.75">
      <c r="B42" s="27"/>
      <c r="C42" s="50"/>
      <c r="D42" s="51"/>
      <c r="E42" s="69" t="s">
        <v>62</v>
      </c>
      <c r="F42" s="69"/>
      <c r="G42" s="52"/>
      <c r="H42" s="52"/>
      <c r="I42" s="54"/>
      <c r="J42" s="54"/>
      <c r="M42" s="70"/>
      <c r="N42" s="55"/>
      <c r="Q42" s="1" t="s">
        <v>63</v>
      </c>
      <c r="R42" s="68">
        <v>1363</v>
      </c>
      <c r="S42" s="68">
        <f t="shared" si="0"/>
        <v>681.5</v>
      </c>
    </row>
    <row r="43" spans="2:19" ht="12.75">
      <c r="B43" s="41"/>
      <c r="C43" s="61"/>
      <c r="D43" s="57"/>
      <c r="E43" s="61" t="s">
        <v>64</v>
      </c>
      <c r="F43" s="61"/>
      <c r="G43" s="58">
        <f>I43-M43</f>
        <v>-4538.908880000001</v>
      </c>
      <c r="H43" s="58">
        <v>-3638</v>
      </c>
      <c r="I43" s="59">
        <f>'[1]Con P&amp;L'!H31/1000</f>
        <v>-1273.9088800000009</v>
      </c>
      <c r="J43" s="59">
        <v>31</v>
      </c>
      <c r="M43" s="60">
        <v>3265</v>
      </c>
      <c r="N43" s="60"/>
      <c r="R43" s="68">
        <f>+R40-R41-R42</f>
        <v>-26420</v>
      </c>
      <c r="S43" s="68">
        <f>+S40-S41-S42</f>
        <v>-13210</v>
      </c>
    </row>
    <row r="44" spans="2:19" ht="12.75">
      <c r="B44" s="41"/>
      <c r="C44" s="61" t="s">
        <v>50</v>
      </c>
      <c r="D44" s="57"/>
      <c r="E44" s="61" t="s">
        <v>65</v>
      </c>
      <c r="F44" s="61"/>
      <c r="G44" s="62">
        <f>I44-M44</f>
        <v>-18754.724299999994</v>
      </c>
      <c r="H44" s="62">
        <v>-16860</v>
      </c>
      <c r="I44" s="59">
        <f>-'[1]Con P&amp;L'!H33/1000</f>
        <v>-46284.724299999994</v>
      </c>
      <c r="J44" s="59">
        <v>-44640</v>
      </c>
      <c r="L44" s="71"/>
      <c r="M44" s="60">
        <v>-27530</v>
      </c>
      <c r="N44" s="60"/>
      <c r="O44" s="71"/>
      <c r="P44" s="71"/>
      <c r="Q44" s="1" t="s">
        <v>66</v>
      </c>
      <c r="R44" s="68">
        <v>1954</v>
      </c>
      <c r="S44" s="68">
        <f t="shared" si="0"/>
        <v>977</v>
      </c>
    </row>
    <row r="45" spans="2:19" ht="12.75">
      <c r="B45" s="41"/>
      <c r="C45" s="72" t="s">
        <v>54</v>
      </c>
      <c r="D45" s="57"/>
      <c r="E45" s="61" t="s">
        <v>67</v>
      </c>
      <c r="F45" s="61"/>
      <c r="G45" s="62">
        <f>I45-M45</f>
        <v>-445.20865000000003</v>
      </c>
      <c r="H45" s="62">
        <v>-728</v>
      </c>
      <c r="I45" s="59">
        <f>-'[1]Con P&amp;L'!H34/1000</f>
        <v>-1029.20865</v>
      </c>
      <c r="J45" s="59">
        <v>-1776</v>
      </c>
      <c r="L45" s="71"/>
      <c r="M45" s="60">
        <v>-584</v>
      </c>
      <c r="N45" s="60"/>
      <c r="O45" s="71"/>
      <c r="P45" s="71"/>
      <c r="R45" s="68">
        <f>+R43-R44</f>
        <v>-28374</v>
      </c>
      <c r="S45" s="68">
        <f>+S43-S44</f>
        <v>-14187</v>
      </c>
    </row>
    <row r="46" spans="2:19" ht="12.75">
      <c r="B46" s="41"/>
      <c r="C46" s="61" t="s">
        <v>68</v>
      </c>
      <c r="D46" s="57"/>
      <c r="E46" s="61" t="s">
        <v>69</v>
      </c>
      <c r="F46" s="61"/>
      <c r="G46" s="62">
        <f>I46-M46</f>
        <v>0.3079999999999927</v>
      </c>
      <c r="H46" s="62">
        <v>0</v>
      </c>
      <c r="I46" s="59">
        <f>'[1]Con P&amp;L'!H39/1000</f>
        <v>4565.308</v>
      </c>
      <c r="J46" s="59">
        <v>468</v>
      </c>
      <c r="L46" s="71"/>
      <c r="M46" s="60">
        <v>4565</v>
      </c>
      <c r="N46" s="60"/>
      <c r="O46" s="71"/>
      <c r="P46" s="71"/>
      <c r="Q46" s="1" t="s">
        <v>70</v>
      </c>
      <c r="R46" s="68">
        <v>-214</v>
      </c>
      <c r="S46" s="68">
        <f t="shared" si="0"/>
        <v>-107</v>
      </c>
    </row>
    <row r="47" spans="2:19" ht="12.75">
      <c r="B47" s="27"/>
      <c r="C47" s="50" t="s">
        <v>71</v>
      </c>
      <c r="D47" s="51"/>
      <c r="E47" s="50" t="s">
        <v>72</v>
      </c>
      <c r="F47" s="50"/>
      <c r="G47" s="52"/>
      <c r="H47" s="52"/>
      <c r="I47" s="54"/>
      <c r="J47" s="54"/>
      <c r="M47" s="55"/>
      <c r="N47" s="55"/>
      <c r="R47" s="68">
        <f>+R45-R46</f>
        <v>-28160</v>
      </c>
      <c r="S47" s="68">
        <f>+S45-S46</f>
        <v>-14080</v>
      </c>
    </row>
    <row r="48" spans="2:14" ht="12.75">
      <c r="B48" s="27"/>
      <c r="C48" s="50"/>
      <c r="D48" s="51"/>
      <c r="E48" s="50" t="s">
        <v>73</v>
      </c>
      <c r="F48" s="50"/>
      <c r="G48" s="52"/>
      <c r="H48" s="52"/>
      <c r="I48" s="54"/>
      <c r="J48" s="54"/>
      <c r="M48" s="55"/>
      <c r="N48" s="55"/>
    </row>
    <row r="49" spans="2:14" ht="12.75">
      <c r="B49" s="27"/>
      <c r="C49" s="50"/>
      <c r="D49" s="51"/>
      <c r="E49" s="50" t="s">
        <v>74</v>
      </c>
      <c r="F49" s="50"/>
      <c r="G49" s="52"/>
      <c r="H49" s="52"/>
      <c r="I49" s="54"/>
      <c r="J49" s="54"/>
      <c r="M49" s="55"/>
      <c r="N49" s="55"/>
    </row>
    <row r="50" spans="2:19" ht="12.75">
      <c r="B50" s="27"/>
      <c r="C50" s="50"/>
      <c r="D50" s="51"/>
      <c r="E50" s="50" t="s">
        <v>75</v>
      </c>
      <c r="F50" s="50"/>
      <c r="G50" s="52"/>
      <c r="H50" s="52"/>
      <c r="I50" s="54"/>
      <c r="J50" s="54"/>
      <c r="M50" s="55"/>
      <c r="N50" s="55"/>
      <c r="Q50" t="s">
        <v>76</v>
      </c>
      <c r="R50" s="68">
        <v>202780</v>
      </c>
      <c r="S50" s="73">
        <f>+R50-S47</f>
        <v>216860</v>
      </c>
    </row>
    <row r="51" spans="2:14" ht="12.75">
      <c r="B51" s="27"/>
      <c r="C51" s="50"/>
      <c r="D51" s="51"/>
      <c r="E51" s="50" t="s">
        <v>77</v>
      </c>
      <c r="F51" s="50"/>
      <c r="G51" s="52"/>
      <c r="H51" s="52"/>
      <c r="I51" s="54"/>
      <c r="J51" s="54"/>
      <c r="M51" s="55"/>
      <c r="N51" s="55"/>
    </row>
    <row r="52" spans="2:19" ht="12.75">
      <c r="B52" s="27"/>
      <c r="C52" s="50"/>
      <c r="D52" s="51"/>
      <c r="E52" s="50" t="s">
        <v>78</v>
      </c>
      <c r="F52" s="50"/>
      <c r="G52" s="52"/>
      <c r="H52" s="52"/>
      <c r="I52" s="54"/>
      <c r="J52" s="54"/>
      <c r="M52" s="55"/>
      <c r="N52" s="55"/>
      <c r="Q52" s="1" t="s">
        <v>79</v>
      </c>
      <c r="R52" s="74">
        <f>+R50/188275</f>
        <v>1.0770415615456115</v>
      </c>
      <c r="S52" s="74">
        <f>+S50/188275</f>
        <v>1.1518257867481079</v>
      </c>
    </row>
    <row r="53" spans="2:14" ht="12.75">
      <c r="B53" s="27"/>
      <c r="C53" s="50"/>
      <c r="D53" s="51"/>
      <c r="E53" s="50" t="s">
        <v>80</v>
      </c>
      <c r="F53" s="50"/>
      <c r="G53" s="52">
        <f>(+G43+G44+G45+G46)</f>
        <v>-23738.533829999997</v>
      </c>
      <c r="H53" s="52">
        <f>(+H43+H44+H45+H46)</f>
        <v>-21226</v>
      </c>
      <c r="I53" s="54">
        <f>(+I43+I44+I45+I46)</f>
        <v>-44022.53383</v>
      </c>
      <c r="J53" s="54">
        <f>(+J43+J44+J45+J46)</f>
        <v>-45917</v>
      </c>
      <c r="M53" s="55">
        <f>(+M43+M44+M45+M46)</f>
        <v>-20284</v>
      </c>
      <c r="N53" s="55"/>
    </row>
    <row r="54" spans="2:16" ht="12.75">
      <c r="B54" s="20"/>
      <c r="C54" s="21" t="s">
        <v>81</v>
      </c>
      <c r="D54" s="45"/>
      <c r="E54" s="21" t="s">
        <v>82</v>
      </c>
      <c r="F54" s="21"/>
      <c r="G54" s="67"/>
      <c r="H54" s="67"/>
      <c r="I54" s="63"/>
      <c r="J54" s="63"/>
      <c r="L54" s="71"/>
      <c r="M54" s="64"/>
      <c r="N54" s="64"/>
      <c r="O54" s="71"/>
      <c r="P54" s="71"/>
    </row>
    <row r="55" spans="2:14" ht="12.75">
      <c r="B55" s="27"/>
      <c r="C55" s="50"/>
      <c r="D55" s="51"/>
      <c r="E55" s="50" t="s">
        <v>83</v>
      </c>
      <c r="F55" s="50"/>
      <c r="G55" s="52">
        <f>I55-M55</f>
        <v>0</v>
      </c>
      <c r="H55" s="52">
        <v>726</v>
      </c>
      <c r="I55" s="54">
        <f>'[1]Con P&amp;L'!H42/1000</f>
        <v>0</v>
      </c>
      <c r="J55" s="54">
        <v>1993</v>
      </c>
      <c r="M55" s="55">
        <v>0</v>
      </c>
      <c r="N55" s="55"/>
    </row>
    <row r="56" spans="2:14" ht="12.75">
      <c r="B56" s="20"/>
      <c r="C56" s="21" t="s">
        <v>84</v>
      </c>
      <c r="D56" s="45"/>
      <c r="E56" s="21" t="s">
        <v>85</v>
      </c>
      <c r="F56" s="21"/>
      <c r="G56" s="67"/>
      <c r="H56" s="67"/>
      <c r="I56" s="63"/>
      <c r="J56" s="63"/>
      <c r="M56" s="64"/>
      <c r="N56" s="64"/>
    </row>
    <row r="57" spans="2:14" ht="12.75">
      <c r="B57" s="27"/>
      <c r="C57" s="50"/>
      <c r="D57" s="51"/>
      <c r="E57" s="50" t="s">
        <v>86</v>
      </c>
      <c r="F57" s="50"/>
      <c r="G57" s="52">
        <f>+G53+G55</f>
        <v>-23738.533829999997</v>
      </c>
      <c r="H57" s="52">
        <f>+H53+H55</f>
        <v>-20500</v>
      </c>
      <c r="I57" s="54">
        <f>+I53+I55</f>
        <v>-44022.53383</v>
      </c>
      <c r="J57" s="54">
        <f>+J53+J55</f>
        <v>-43924</v>
      </c>
      <c r="M57" s="55">
        <f>+M53+M55</f>
        <v>-20284</v>
      </c>
      <c r="N57" s="55"/>
    </row>
    <row r="58" spans="2:14" ht="12.75">
      <c r="B58" s="41"/>
      <c r="C58" s="61"/>
      <c r="D58" s="57"/>
      <c r="E58" s="61" t="s">
        <v>87</v>
      </c>
      <c r="F58" s="61"/>
      <c r="G58" s="58"/>
      <c r="H58" s="58"/>
      <c r="I58" s="59"/>
      <c r="J58" s="59"/>
      <c r="M58" s="60"/>
      <c r="N58" s="60"/>
    </row>
    <row r="59" spans="2:14" ht="12.75">
      <c r="B59" s="20"/>
      <c r="C59" s="21" t="s">
        <v>88</v>
      </c>
      <c r="D59" s="45"/>
      <c r="E59" s="21" t="s">
        <v>89</v>
      </c>
      <c r="F59" s="21"/>
      <c r="G59" s="52">
        <f>I59-M59</f>
        <v>-7635.618</v>
      </c>
      <c r="H59" s="52">
        <v>-427</v>
      </c>
      <c r="I59" s="63">
        <f>-'[1]Con P&amp;L'!H45/1000</f>
        <v>-8514.618</v>
      </c>
      <c r="J59" s="63">
        <v>-2018</v>
      </c>
      <c r="M59" s="64">
        <v>-879</v>
      </c>
      <c r="N59" s="64"/>
    </row>
    <row r="60" spans="2:14" ht="12.75">
      <c r="B60" s="20"/>
      <c r="C60" s="21" t="s">
        <v>90</v>
      </c>
      <c r="D60" s="45" t="s">
        <v>90</v>
      </c>
      <c r="E60" s="21" t="s">
        <v>91</v>
      </c>
      <c r="F60" s="21"/>
      <c r="G60" s="67"/>
      <c r="H60" s="67"/>
      <c r="I60" s="63"/>
      <c r="J60" s="63"/>
      <c r="M60" s="64"/>
      <c r="N60" s="64"/>
    </row>
    <row r="61" spans="2:14" ht="12.75">
      <c r="B61" s="27"/>
      <c r="C61" s="50"/>
      <c r="D61" s="51"/>
      <c r="E61" s="50" t="s">
        <v>92</v>
      </c>
      <c r="F61" s="50"/>
      <c r="G61" s="52">
        <f>+G57+G59</f>
        <v>-31374.151829999995</v>
      </c>
      <c r="H61" s="52">
        <f>+H57+H59</f>
        <v>-20927</v>
      </c>
      <c r="I61" s="54">
        <f>+I57+I59</f>
        <v>-52537.15183</v>
      </c>
      <c r="J61" s="54">
        <f>+J57+J59</f>
        <v>-45942</v>
      </c>
      <c r="M61" s="55">
        <f>+M57+M59</f>
        <v>-21163</v>
      </c>
      <c r="N61" s="55"/>
    </row>
    <row r="62" spans="2:14" ht="12.75">
      <c r="B62" s="41"/>
      <c r="C62" s="61"/>
      <c r="D62" s="57" t="s">
        <v>93</v>
      </c>
      <c r="E62" s="61" t="s">
        <v>94</v>
      </c>
      <c r="F62" s="61"/>
      <c r="G62" s="58"/>
      <c r="H62" s="58"/>
      <c r="I62" s="59">
        <f>'[1]Con P&amp;L'!H48/1000</f>
        <v>0</v>
      </c>
      <c r="J62" s="59"/>
      <c r="M62" s="60"/>
      <c r="N62" s="60"/>
    </row>
    <row r="63" spans="2:14" ht="12.75">
      <c r="B63" s="20"/>
      <c r="C63" s="21" t="s">
        <v>95</v>
      </c>
      <c r="D63" s="45"/>
      <c r="E63" s="21" t="s">
        <v>91</v>
      </c>
      <c r="F63" s="21"/>
      <c r="G63" s="67"/>
      <c r="H63" s="67"/>
      <c r="I63" s="63"/>
      <c r="J63" s="63"/>
      <c r="M63" s="64"/>
      <c r="N63" s="64"/>
    </row>
    <row r="64" spans="2:14" ht="12.75">
      <c r="B64" s="27"/>
      <c r="C64" s="50"/>
      <c r="D64" s="51"/>
      <c r="E64" s="50" t="s">
        <v>96</v>
      </c>
      <c r="F64" s="50"/>
      <c r="G64" s="52"/>
      <c r="H64" s="52"/>
      <c r="I64" s="54"/>
      <c r="J64" s="54"/>
      <c r="M64" s="55"/>
      <c r="N64" s="55"/>
    </row>
    <row r="65" spans="2:17" s="75" customFormat="1" ht="12.75">
      <c r="B65" s="41"/>
      <c r="C65" s="61"/>
      <c r="D65" s="57"/>
      <c r="E65" s="61" t="s">
        <v>97</v>
      </c>
      <c r="F65" s="61"/>
      <c r="G65" s="58">
        <f>G61-G62</f>
        <v>-31374.151829999995</v>
      </c>
      <c r="H65" s="58">
        <f>H61-H62</f>
        <v>-20927</v>
      </c>
      <c r="I65" s="59">
        <f>I61-I62</f>
        <v>-52537.15183</v>
      </c>
      <c r="J65" s="59">
        <f>J61-J62</f>
        <v>-45942</v>
      </c>
      <c r="K65" s="69"/>
      <c r="L65" s="69"/>
      <c r="M65" s="60">
        <f>M61-M62</f>
        <v>-21163</v>
      </c>
      <c r="N65" s="60"/>
      <c r="O65" s="69"/>
      <c r="P65" s="69"/>
      <c r="Q65" s="69"/>
    </row>
    <row r="66" spans="2:14" ht="12.75">
      <c r="B66" s="76"/>
      <c r="C66" s="72" t="s">
        <v>98</v>
      </c>
      <c r="D66" s="77" t="s">
        <v>90</v>
      </c>
      <c r="E66" s="72" t="s">
        <v>99</v>
      </c>
      <c r="F66" s="72"/>
      <c r="G66" s="62"/>
      <c r="H66" s="62">
        <v>0</v>
      </c>
      <c r="I66" s="78">
        <f>'[1]Con P&amp;L'!H51</f>
        <v>0</v>
      </c>
      <c r="J66" s="78">
        <v>0</v>
      </c>
      <c r="M66" s="79"/>
      <c r="N66" s="79"/>
    </row>
    <row r="67" spans="2:14" ht="12.75">
      <c r="B67" s="76"/>
      <c r="C67" s="72"/>
      <c r="D67" s="77" t="s">
        <v>93</v>
      </c>
      <c r="E67" s="80" t="s">
        <v>94</v>
      </c>
      <c r="F67" s="80"/>
      <c r="G67" s="81"/>
      <c r="H67" s="81">
        <v>0</v>
      </c>
      <c r="I67" s="82">
        <f>'[1]Con P&amp;L'!H48</f>
        <v>0</v>
      </c>
      <c r="J67" s="82">
        <v>0</v>
      </c>
      <c r="M67" s="79"/>
      <c r="N67" s="83"/>
    </row>
    <row r="68" spans="2:14" ht="12.75">
      <c r="B68" s="20"/>
      <c r="C68" s="21"/>
      <c r="D68" s="45" t="s">
        <v>100</v>
      </c>
      <c r="E68" s="21" t="s">
        <v>101</v>
      </c>
      <c r="F68" s="21"/>
      <c r="G68" s="67"/>
      <c r="H68" s="67"/>
      <c r="I68" s="63"/>
      <c r="J68" s="63"/>
      <c r="M68" s="64"/>
      <c r="N68" s="64"/>
    </row>
    <row r="69" spans="2:14" ht="12.75">
      <c r="B69" s="41"/>
      <c r="C69" s="61"/>
      <c r="D69" s="57"/>
      <c r="E69" s="61" t="s">
        <v>102</v>
      </c>
      <c r="F69" s="61"/>
      <c r="G69" s="58"/>
      <c r="H69" s="58">
        <v>0</v>
      </c>
      <c r="I69" s="59"/>
      <c r="J69" s="59">
        <v>0</v>
      </c>
      <c r="M69" s="60"/>
      <c r="N69" s="60"/>
    </row>
    <row r="70" spans="2:14" ht="12.75">
      <c r="B70" s="20"/>
      <c r="C70" s="21" t="s">
        <v>103</v>
      </c>
      <c r="D70" s="45"/>
      <c r="E70" s="84" t="s">
        <v>104</v>
      </c>
      <c r="F70" s="84"/>
      <c r="G70" s="67"/>
      <c r="H70" s="67"/>
      <c r="I70" s="63"/>
      <c r="J70" s="63"/>
      <c r="M70" s="64"/>
      <c r="N70" s="64"/>
    </row>
    <row r="71" spans="2:14" ht="12.75">
      <c r="B71" s="27"/>
      <c r="C71" s="50"/>
      <c r="D71" s="51"/>
      <c r="E71" s="85" t="s">
        <v>87</v>
      </c>
      <c r="F71" s="85"/>
      <c r="G71" s="52"/>
      <c r="H71" s="52"/>
      <c r="I71" s="54"/>
      <c r="J71" s="54"/>
      <c r="M71" s="55"/>
      <c r="N71" s="55"/>
    </row>
    <row r="72" spans="2:14" ht="12.75">
      <c r="B72" s="41"/>
      <c r="C72" s="61"/>
      <c r="D72" s="57"/>
      <c r="E72" s="61" t="s">
        <v>105</v>
      </c>
      <c r="F72" s="61"/>
      <c r="G72" s="58">
        <f>G65+G66+G67</f>
        <v>-31374.151829999995</v>
      </c>
      <c r="H72" s="58">
        <f>H65+H66+H67</f>
        <v>-20927</v>
      </c>
      <c r="I72" s="59">
        <f>I65+I66</f>
        <v>-52537.15183</v>
      </c>
      <c r="J72" s="59">
        <f>J65+J66+J67</f>
        <v>-45942</v>
      </c>
      <c r="M72" s="60">
        <f>M65+M66+M67</f>
        <v>-21163</v>
      </c>
      <c r="N72" s="60"/>
    </row>
    <row r="73" spans="2:14" ht="12.75">
      <c r="B73" s="66" t="s">
        <v>106</v>
      </c>
      <c r="C73" s="86" t="s">
        <v>48</v>
      </c>
      <c r="D73" s="45"/>
      <c r="E73" s="21" t="s">
        <v>107</v>
      </c>
      <c r="F73" s="21"/>
      <c r="G73" s="87"/>
      <c r="H73" s="87"/>
      <c r="I73" s="88"/>
      <c r="J73" s="88"/>
      <c r="M73" s="89"/>
      <c r="N73" s="89"/>
    </row>
    <row r="74" spans="2:14" ht="12.75">
      <c r="B74" s="49"/>
      <c r="C74" s="69"/>
      <c r="D74" s="51"/>
      <c r="E74" s="50" t="s">
        <v>108</v>
      </c>
      <c r="F74" s="50"/>
      <c r="G74" s="52"/>
      <c r="H74" s="52"/>
      <c r="I74" s="90"/>
      <c r="J74" s="90"/>
      <c r="M74" s="55"/>
      <c r="N74" s="55"/>
    </row>
    <row r="75" spans="2:14" ht="12.75">
      <c r="B75" s="49"/>
      <c r="C75" s="69"/>
      <c r="D75" s="51"/>
      <c r="E75" s="50" t="s">
        <v>109</v>
      </c>
      <c r="F75" s="50"/>
      <c r="G75" s="91"/>
      <c r="H75" s="91"/>
      <c r="I75" s="90"/>
      <c r="J75" s="90"/>
      <c r="M75" s="92"/>
      <c r="N75" s="92"/>
    </row>
    <row r="76" spans="2:14" ht="12.75">
      <c r="B76" s="49"/>
      <c r="C76" s="69"/>
      <c r="D76" s="51"/>
      <c r="E76" s="50" t="s">
        <v>110</v>
      </c>
      <c r="F76" s="50"/>
      <c r="G76" s="91">
        <f>(+G65/188275)*100</f>
        <v>-16.664003096534323</v>
      </c>
      <c r="H76" s="91">
        <f>(+H65/188275)*100</f>
        <v>-11.115124153498872</v>
      </c>
      <c r="I76" s="93">
        <f>(+I65/188275)*100</f>
        <v>-27.90447580932147</v>
      </c>
      <c r="J76" s="93">
        <f>(+J65/188275)*100</f>
        <v>-24.40154030009295</v>
      </c>
      <c r="M76" s="92">
        <f>(+M65/188275)*100</f>
        <v>-11.240472712787145</v>
      </c>
      <c r="N76" s="92"/>
    </row>
    <row r="77" spans="2:14" ht="12.75">
      <c r="B77" s="94"/>
      <c r="C77" s="56"/>
      <c r="D77" s="57"/>
      <c r="E77" s="61"/>
      <c r="F77" s="61"/>
      <c r="G77" s="95"/>
      <c r="H77" s="95"/>
      <c r="I77" s="96"/>
      <c r="J77" s="96"/>
      <c r="M77" s="97"/>
      <c r="N77" s="97"/>
    </row>
    <row r="78" spans="2:14" ht="12.75">
      <c r="B78" s="66"/>
      <c r="C78" s="86"/>
      <c r="D78" s="45" t="s">
        <v>90</v>
      </c>
      <c r="E78" s="21" t="s">
        <v>111</v>
      </c>
      <c r="F78" s="21"/>
      <c r="G78" s="87">
        <v>0</v>
      </c>
      <c r="H78" s="87">
        <v>0</v>
      </c>
      <c r="I78" s="88">
        <v>0</v>
      </c>
      <c r="J78" s="88">
        <v>0</v>
      </c>
      <c r="M78" s="64">
        <v>0</v>
      </c>
      <c r="N78" s="89">
        <v>0</v>
      </c>
    </row>
    <row r="79" spans="2:14" ht="12.75">
      <c r="B79" s="94"/>
      <c r="C79" s="61"/>
      <c r="D79" s="57"/>
      <c r="E79" s="61"/>
      <c r="F79" s="61"/>
      <c r="G79" s="95"/>
      <c r="H79" s="95"/>
      <c r="I79" s="96"/>
      <c r="J79" s="96"/>
      <c r="M79" s="60"/>
      <c r="N79" s="97"/>
    </row>
    <row r="80" spans="2:14" ht="12.75">
      <c r="B80" s="66"/>
      <c r="C80" s="21"/>
      <c r="D80" s="45" t="s">
        <v>93</v>
      </c>
      <c r="E80" s="21" t="s">
        <v>112</v>
      </c>
      <c r="F80" s="21"/>
      <c r="G80" s="87">
        <v>0</v>
      </c>
      <c r="H80" s="87">
        <v>0</v>
      </c>
      <c r="I80" s="88">
        <v>0</v>
      </c>
      <c r="J80" s="88">
        <v>0</v>
      </c>
      <c r="M80" s="64">
        <v>0</v>
      </c>
      <c r="N80" s="89">
        <v>0</v>
      </c>
    </row>
    <row r="81" spans="2:14" ht="12.75">
      <c r="B81" s="94"/>
      <c r="C81" s="61"/>
      <c r="D81" s="57"/>
      <c r="E81" s="61"/>
      <c r="F81" s="61"/>
      <c r="G81" s="95"/>
      <c r="H81" s="95"/>
      <c r="I81" s="96"/>
      <c r="J81" s="96"/>
      <c r="M81" s="60"/>
      <c r="N81" s="97"/>
    </row>
    <row r="82" spans="2:14" ht="12.75">
      <c r="B82" s="66" t="s">
        <v>113</v>
      </c>
      <c r="C82" s="21" t="s">
        <v>48</v>
      </c>
      <c r="D82" s="45"/>
      <c r="E82" s="21" t="s">
        <v>114</v>
      </c>
      <c r="F82" s="21"/>
      <c r="G82" s="87">
        <v>0</v>
      </c>
      <c r="H82" s="87">
        <v>0</v>
      </c>
      <c r="I82" s="88">
        <v>0</v>
      </c>
      <c r="J82" s="88">
        <v>0</v>
      </c>
      <c r="M82" s="64">
        <v>0</v>
      </c>
      <c r="N82" s="89">
        <v>0</v>
      </c>
    </row>
    <row r="83" spans="2:14" ht="12.75">
      <c r="B83" s="94"/>
      <c r="C83" s="61"/>
      <c r="D83" s="57"/>
      <c r="E83" s="61"/>
      <c r="F83" s="61"/>
      <c r="G83" s="95"/>
      <c r="H83" s="95"/>
      <c r="I83" s="96"/>
      <c r="J83" s="96"/>
      <c r="M83" s="60"/>
      <c r="N83" s="97"/>
    </row>
    <row r="84" spans="2:14" ht="12.75">
      <c r="B84" s="98"/>
      <c r="C84" s="72" t="s">
        <v>50</v>
      </c>
      <c r="D84" s="77"/>
      <c r="E84" s="72" t="s">
        <v>115</v>
      </c>
      <c r="F84" s="72"/>
      <c r="G84" s="99">
        <v>0</v>
      </c>
      <c r="H84" s="99">
        <v>0</v>
      </c>
      <c r="I84" s="100">
        <v>0</v>
      </c>
      <c r="J84" s="100">
        <v>0</v>
      </c>
      <c r="M84" s="79">
        <v>0</v>
      </c>
      <c r="N84" s="101">
        <v>0</v>
      </c>
    </row>
    <row r="85" spans="2:14" ht="12.75">
      <c r="B85" s="102"/>
      <c r="C85" s="28"/>
      <c r="D85" s="28"/>
      <c r="E85" s="28"/>
      <c r="F85" s="28"/>
      <c r="G85" s="103"/>
      <c r="H85" s="104"/>
      <c r="I85" s="103"/>
      <c r="J85" s="104"/>
      <c r="M85" s="105"/>
      <c r="N85" s="106"/>
    </row>
    <row r="86" spans="2:14" ht="12.75">
      <c r="B86" s="102"/>
      <c r="C86" s="28"/>
      <c r="D86" s="28"/>
      <c r="E86" s="28"/>
      <c r="F86" s="28"/>
      <c r="G86" s="103"/>
      <c r="H86" s="104"/>
      <c r="I86" s="103"/>
      <c r="J86" s="104"/>
      <c r="M86" s="105"/>
      <c r="N86" s="106"/>
    </row>
    <row r="87" spans="2:14" ht="12.75">
      <c r="B87" s="102"/>
      <c r="C87" s="28"/>
      <c r="D87" s="28"/>
      <c r="E87" s="28"/>
      <c r="F87" s="28"/>
      <c r="G87" s="103"/>
      <c r="H87" s="104"/>
      <c r="I87" s="103"/>
      <c r="J87" s="104"/>
      <c r="M87" s="105"/>
      <c r="N87" s="106"/>
    </row>
    <row r="88" spans="2:14" ht="12" customHeight="1">
      <c r="B88" s="66"/>
      <c r="C88" s="21"/>
      <c r="D88" s="21"/>
      <c r="E88" s="21"/>
      <c r="F88" s="21"/>
      <c r="G88" s="107" t="s">
        <v>116</v>
      </c>
      <c r="H88" s="108"/>
      <c r="I88" s="109" t="s">
        <v>117</v>
      </c>
      <c r="J88" s="110"/>
      <c r="M88" s="111" t="s">
        <v>116</v>
      </c>
      <c r="N88" s="112"/>
    </row>
    <row r="89" spans="2:14" ht="12.75">
      <c r="B89" s="94"/>
      <c r="C89" s="61"/>
      <c r="D89" s="61"/>
      <c r="E89" s="61"/>
      <c r="F89" s="61"/>
      <c r="G89" s="113"/>
      <c r="H89" s="114"/>
      <c r="I89" s="115" t="s">
        <v>118</v>
      </c>
      <c r="J89" s="116"/>
      <c r="M89" s="117"/>
      <c r="N89" s="118"/>
    </row>
    <row r="90" spans="2:14" ht="12.75">
      <c r="B90" s="119">
        <v>5</v>
      </c>
      <c r="C90" s="21" t="s">
        <v>119</v>
      </c>
      <c r="D90" s="21"/>
      <c r="E90" s="21"/>
      <c r="F90" s="45"/>
      <c r="G90" s="120">
        <f>('[1]Con B&amp;S'!H13/1000)/188275</f>
        <v>-2.5231389456380295</v>
      </c>
      <c r="H90" s="121"/>
      <c r="I90" s="122">
        <v>-2.245</v>
      </c>
      <c r="J90" s="123"/>
      <c r="M90" s="124">
        <v>-2.223191990885671</v>
      </c>
      <c r="N90" s="125"/>
    </row>
    <row r="91" spans="2:14" ht="12.75">
      <c r="B91" s="126"/>
      <c r="C91" s="61" t="s">
        <v>120</v>
      </c>
      <c r="D91" s="61"/>
      <c r="E91" s="61"/>
      <c r="F91" s="57"/>
      <c r="G91" s="127"/>
      <c r="H91" s="128"/>
      <c r="I91" s="129"/>
      <c r="J91" s="130"/>
      <c r="M91" s="131"/>
      <c r="N91" s="132"/>
    </row>
    <row r="92" spans="2:14" ht="12.75">
      <c r="B92" s="126"/>
      <c r="C92" s="76"/>
      <c r="D92" s="72"/>
      <c r="E92" s="72"/>
      <c r="F92" s="77"/>
      <c r="G92" s="133"/>
      <c r="H92" s="134"/>
      <c r="I92" s="135"/>
      <c r="J92" s="136"/>
      <c r="M92" s="137"/>
      <c r="N92" s="138"/>
    </row>
    <row r="93" spans="2:10" ht="12.75">
      <c r="B93" s="102"/>
      <c r="C93" s="28"/>
      <c r="D93" s="28"/>
      <c r="E93" s="28"/>
      <c r="F93" s="28"/>
      <c r="G93" s="139"/>
      <c r="H93" s="140"/>
      <c r="I93" s="139"/>
      <c r="J93" s="140"/>
    </row>
    <row r="94" spans="2:10" ht="12.75">
      <c r="B94" s="141" t="s">
        <v>257</v>
      </c>
      <c r="C94" s="28"/>
      <c r="D94" s="28"/>
      <c r="E94" s="28"/>
      <c r="F94" s="28"/>
      <c r="G94" s="139"/>
      <c r="H94" s="140"/>
      <c r="I94" s="139"/>
      <c r="J94" s="140"/>
    </row>
    <row r="95" spans="2:10" ht="15.75">
      <c r="B95" s="141" t="s">
        <v>258</v>
      </c>
      <c r="G95" s="142"/>
      <c r="H95" s="142"/>
      <c r="I95" s="142"/>
      <c r="J95" s="142"/>
    </row>
    <row r="96" spans="2:10" ht="15.75">
      <c r="B96" s="141" t="s">
        <v>259</v>
      </c>
      <c r="G96" s="142"/>
      <c r="H96" s="142"/>
      <c r="I96" s="142"/>
      <c r="J96" s="142"/>
    </row>
    <row r="97" spans="2:10" ht="15.75">
      <c r="B97" s="141" t="s">
        <v>260</v>
      </c>
      <c r="G97" s="142"/>
      <c r="H97" s="142"/>
      <c r="I97" s="142"/>
      <c r="J97" s="142"/>
    </row>
    <row r="98" spans="2:10" ht="15.75">
      <c r="B98" s="1" t="s">
        <v>263</v>
      </c>
      <c r="G98" s="142"/>
      <c r="H98" s="142"/>
      <c r="I98" s="142"/>
      <c r="J98" s="142"/>
    </row>
    <row r="99" spans="2:10" ht="15.75">
      <c r="B99" s="1" t="s">
        <v>261</v>
      </c>
      <c r="G99" s="142"/>
      <c r="H99" s="142"/>
      <c r="I99" s="142"/>
      <c r="J99" s="142"/>
    </row>
    <row r="100" spans="7:10" ht="15.75">
      <c r="G100" s="142"/>
      <c r="H100" s="142"/>
      <c r="I100" s="142"/>
      <c r="J100" s="142"/>
    </row>
    <row r="101" spans="7:10" ht="15.75">
      <c r="G101" s="142"/>
      <c r="H101" s="142"/>
      <c r="I101" s="142"/>
      <c r="J101" s="142"/>
    </row>
    <row r="102" spans="7:10" ht="15.75">
      <c r="G102" s="142"/>
      <c r="H102" s="142"/>
      <c r="I102" s="142"/>
      <c r="J102" s="142"/>
    </row>
    <row r="103" spans="7:10" ht="15.75">
      <c r="G103" s="142"/>
      <c r="H103" s="142"/>
      <c r="I103" s="142"/>
      <c r="J103" s="142"/>
    </row>
    <row r="104" spans="7:10" ht="15.75">
      <c r="G104" s="142"/>
      <c r="H104" s="142"/>
      <c r="I104" s="142"/>
      <c r="J104" s="142"/>
    </row>
    <row r="105" spans="7:10" ht="15.75">
      <c r="G105" s="142"/>
      <c r="H105" s="142"/>
      <c r="I105" s="142"/>
      <c r="J105" s="142"/>
    </row>
    <row r="106" spans="7:10" ht="15.75">
      <c r="G106" s="142"/>
      <c r="H106" s="142"/>
      <c r="I106" s="142"/>
      <c r="J106" s="142"/>
    </row>
    <row r="107" spans="7:10" ht="15.75">
      <c r="G107" s="142"/>
      <c r="H107" s="142"/>
      <c r="I107" s="142"/>
      <c r="J107" s="142"/>
    </row>
    <row r="108" spans="7:10" ht="15.75">
      <c r="G108" s="142"/>
      <c r="H108" s="142"/>
      <c r="I108" s="142"/>
      <c r="J108" s="142"/>
    </row>
    <row r="109" spans="7:10" ht="15.75">
      <c r="G109" s="142"/>
      <c r="H109" s="142"/>
      <c r="I109" s="142"/>
      <c r="J109" s="142"/>
    </row>
    <row r="110" spans="7:10" ht="15.75">
      <c r="G110" s="142"/>
      <c r="H110" s="142"/>
      <c r="I110" s="142"/>
      <c r="J110" s="142"/>
    </row>
    <row r="111" spans="7:10" ht="15.75">
      <c r="G111" s="142"/>
      <c r="H111" s="142"/>
      <c r="I111" s="142"/>
      <c r="J111" s="142"/>
    </row>
    <row r="112" spans="7:10" ht="15.75">
      <c r="G112" s="142"/>
      <c r="H112" s="142"/>
      <c r="I112" s="142"/>
      <c r="J112" s="142"/>
    </row>
    <row r="113" spans="7:10" ht="15.75">
      <c r="G113" s="142"/>
      <c r="H113" s="142"/>
      <c r="I113" s="142"/>
      <c r="J113" s="142"/>
    </row>
    <row r="114" spans="7:10" ht="15.75">
      <c r="G114" s="142"/>
      <c r="H114" s="142"/>
      <c r="I114" s="142"/>
      <c r="J114" s="142"/>
    </row>
    <row r="115" spans="7:10" ht="15.75">
      <c r="G115" s="142"/>
      <c r="H115" s="142"/>
      <c r="I115" s="142"/>
      <c r="J115" s="142"/>
    </row>
    <row r="116" spans="7:10" ht="15.75">
      <c r="G116" s="142"/>
      <c r="H116" s="142"/>
      <c r="I116" s="142"/>
      <c r="J116" s="142"/>
    </row>
    <row r="117" spans="7:10" ht="15.75">
      <c r="G117" s="142"/>
      <c r="H117" s="142"/>
      <c r="I117" s="142"/>
      <c r="J117" s="142"/>
    </row>
    <row r="118" spans="7:10" ht="15.75">
      <c r="G118" s="142"/>
      <c r="H118" s="142"/>
      <c r="I118" s="142"/>
      <c r="J118" s="142"/>
    </row>
    <row r="119" spans="7:10" ht="15.75">
      <c r="G119" s="142"/>
      <c r="H119" s="142"/>
      <c r="I119" s="142"/>
      <c r="J119" s="142"/>
    </row>
    <row r="120" spans="7:10" ht="15.75">
      <c r="G120" s="142"/>
      <c r="H120" s="142"/>
      <c r="I120" s="142"/>
      <c r="J120" s="142"/>
    </row>
    <row r="121" spans="7:10" ht="15.75">
      <c r="G121" s="142"/>
      <c r="H121" s="142"/>
      <c r="I121" s="142"/>
      <c r="J121" s="142"/>
    </row>
    <row r="122" spans="7:10" ht="15.75">
      <c r="G122" s="142"/>
      <c r="H122" s="142"/>
      <c r="I122" s="142"/>
      <c r="J122" s="142"/>
    </row>
    <row r="123" spans="7:10" ht="15.75">
      <c r="G123" s="142"/>
      <c r="H123" s="142"/>
      <c r="I123" s="142"/>
      <c r="J123" s="142"/>
    </row>
    <row r="124" spans="7:10" ht="15.75">
      <c r="G124" s="142"/>
      <c r="H124" s="142"/>
      <c r="I124" s="142"/>
      <c r="J124" s="142"/>
    </row>
    <row r="125" spans="7:10" ht="15.75">
      <c r="G125" s="142"/>
      <c r="H125" s="142"/>
      <c r="I125" s="142"/>
      <c r="J125" s="142"/>
    </row>
    <row r="126" spans="7:10" ht="15.75">
      <c r="G126" s="142"/>
      <c r="H126" s="142"/>
      <c r="I126" s="142"/>
      <c r="J126" s="142"/>
    </row>
    <row r="127" spans="7:10" ht="15.75">
      <c r="G127" s="142"/>
      <c r="H127" s="142"/>
      <c r="I127" s="142"/>
      <c r="J127" s="142"/>
    </row>
    <row r="128" spans="7:10" ht="15.75">
      <c r="G128" s="142"/>
      <c r="H128" s="142"/>
      <c r="I128" s="142"/>
      <c r="J128" s="142"/>
    </row>
    <row r="129" spans="7:10" ht="15.75">
      <c r="G129" s="142"/>
      <c r="H129" s="142"/>
      <c r="I129" s="142"/>
      <c r="J129" s="142"/>
    </row>
    <row r="130" spans="7:10" ht="15.75">
      <c r="G130" s="142"/>
      <c r="H130" s="142"/>
      <c r="I130" s="142"/>
      <c r="J130" s="142"/>
    </row>
    <row r="131" spans="7:10" ht="15.75">
      <c r="G131" s="142"/>
      <c r="H131" s="142"/>
      <c r="I131" s="142"/>
      <c r="J131" s="142"/>
    </row>
    <row r="132" spans="7:10" ht="15.75">
      <c r="G132" s="142"/>
      <c r="H132" s="142"/>
      <c r="I132" s="142"/>
      <c r="J132" s="142"/>
    </row>
    <row r="133" spans="7:10" ht="15.75">
      <c r="G133" s="142"/>
      <c r="H133" s="142"/>
      <c r="I133" s="142"/>
      <c r="J133" s="142"/>
    </row>
    <row r="134" spans="7:10" ht="15.75">
      <c r="G134" s="142"/>
      <c r="H134" s="142"/>
      <c r="I134" s="142"/>
      <c r="J134" s="142"/>
    </row>
    <row r="135" spans="7:10" ht="15.75">
      <c r="G135" s="142"/>
      <c r="H135" s="142"/>
      <c r="I135" s="142"/>
      <c r="J135" s="142"/>
    </row>
    <row r="136" spans="7:10" ht="15.75">
      <c r="G136" s="142"/>
      <c r="H136" s="142"/>
      <c r="I136" s="142"/>
      <c r="J136" s="142"/>
    </row>
    <row r="137" spans="7:10" ht="15.75">
      <c r="G137" s="142"/>
      <c r="H137" s="142"/>
      <c r="I137" s="142"/>
      <c r="J137" s="142"/>
    </row>
    <row r="138" spans="7:10" ht="15.75">
      <c r="G138" s="142"/>
      <c r="H138" s="142"/>
      <c r="I138" s="142"/>
      <c r="J138" s="142"/>
    </row>
    <row r="139" spans="7:10" ht="15.75">
      <c r="G139" s="142"/>
      <c r="H139" s="142"/>
      <c r="I139" s="142"/>
      <c r="J139" s="142"/>
    </row>
    <row r="140" spans="7:10" ht="15.75">
      <c r="G140" s="142"/>
      <c r="H140" s="142"/>
      <c r="I140" s="142"/>
      <c r="J140" s="142"/>
    </row>
    <row r="141" spans="7:10" ht="15.75">
      <c r="G141" s="142"/>
      <c r="H141" s="142"/>
      <c r="I141" s="142"/>
      <c r="J141" s="142"/>
    </row>
    <row r="142" spans="7:10" ht="15.75">
      <c r="G142" s="142"/>
      <c r="H142" s="142"/>
      <c r="I142" s="142"/>
      <c r="J142" s="142"/>
    </row>
    <row r="143" spans="7:10" ht="15.75">
      <c r="G143" s="142"/>
      <c r="H143" s="142"/>
      <c r="I143" s="142"/>
      <c r="J143" s="142"/>
    </row>
    <row r="144" spans="7:10" ht="15.75">
      <c r="G144" s="142"/>
      <c r="H144" s="142"/>
      <c r="I144" s="142"/>
      <c r="J144" s="142"/>
    </row>
    <row r="145" spans="7:10" ht="15.75">
      <c r="G145" s="142"/>
      <c r="H145" s="142"/>
      <c r="I145" s="142"/>
      <c r="J145" s="142"/>
    </row>
    <row r="146" spans="7:10" ht="15.75">
      <c r="G146" s="142"/>
      <c r="H146" s="142"/>
      <c r="I146" s="142"/>
      <c r="J146" s="142"/>
    </row>
    <row r="147" spans="7:10" ht="15.75">
      <c r="G147" s="142"/>
      <c r="H147" s="142"/>
      <c r="I147" s="142"/>
      <c r="J147" s="142"/>
    </row>
    <row r="148" spans="7:10" ht="15.75">
      <c r="G148" s="142"/>
      <c r="H148" s="142"/>
      <c r="I148" s="142"/>
      <c r="J148" s="142"/>
    </row>
    <row r="149" spans="7:10" ht="15.75">
      <c r="G149" s="142"/>
      <c r="H149" s="142"/>
      <c r="I149" s="142"/>
      <c r="J149" s="142"/>
    </row>
  </sheetData>
  <printOptions/>
  <pageMargins left="0.75" right="0.75" top="1" bottom="1" header="0.5" footer="0.5"/>
  <pageSetup horizontalDpi="600" verticalDpi="600" orientation="portrait" paperSize="9" scale="71" r:id="rId2"/>
  <rowBreaks count="1" manualBreakCount="1">
    <brk id="7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5"/>
  <sheetViews>
    <sheetView view="pageBreakPreview" zoomScale="60" zoomScaleNormal="60" workbookViewId="0" topLeftCell="A4">
      <selection activeCell="M49" sqref="M49"/>
    </sheetView>
  </sheetViews>
  <sheetFormatPr defaultColWidth="9.140625" defaultRowHeight="12.75"/>
  <cols>
    <col min="1" max="1" width="3.00390625" style="0" customWidth="1"/>
    <col min="2" max="2" width="4.7109375" style="1" customWidth="1"/>
    <col min="3" max="3" width="3.00390625" style="1" customWidth="1"/>
    <col min="4" max="4" width="2.00390625" style="1" customWidth="1"/>
    <col min="5" max="5" width="27.57421875" style="1" customWidth="1"/>
    <col min="6" max="6" width="13.140625" style="1" customWidth="1"/>
    <col min="7" max="7" width="11.421875" style="7" bestFit="1" customWidth="1"/>
    <col min="8" max="8" width="4.140625" style="7" customWidth="1"/>
    <col min="9" max="10" width="12.421875" style="1" bestFit="1" customWidth="1"/>
    <col min="11" max="11" width="10.140625" style="143" customWidth="1"/>
    <col min="12" max="12" width="2.140625" style="1" customWidth="1"/>
    <col min="13" max="13" width="8.140625" style="0" customWidth="1"/>
  </cols>
  <sheetData>
    <row r="1" spans="7:10" ht="15.75">
      <c r="G1" s="142"/>
      <c r="H1" s="142"/>
      <c r="I1" s="143"/>
      <c r="J1" s="143"/>
    </row>
    <row r="2" spans="2:10" ht="15.75">
      <c r="B2" s="144" t="s">
        <v>121</v>
      </c>
      <c r="G2" s="142"/>
      <c r="H2" s="142"/>
      <c r="I2" s="143"/>
      <c r="J2" s="143"/>
    </row>
    <row r="3" spans="2:10" ht="15.75">
      <c r="B3" s="144"/>
      <c r="G3" s="142"/>
      <c r="H3" s="142"/>
      <c r="I3" s="143"/>
      <c r="J3" s="143"/>
    </row>
    <row r="4" spans="2:10" ht="15.75">
      <c r="B4" s="144" t="s">
        <v>122</v>
      </c>
      <c r="G4" s="142"/>
      <c r="H4" s="142"/>
      <c r="I4" s="143"/>
      <c r="J4" s="143"/>
    </row>
    <row r="5" spans="6:11" ht="12.75">
      <c r="F5" s="145" t="s">
        <v>123</v>
      </c>
      <c r="G5" s="145" t="s">
        <v>123</v>
      </c>
      <c r="H5" s="146"/>
      <c r="I5" s="147"/>
      <c r="J5" s="147"/>
      <c r="K5" s="147"/>
    </row>
    <row r="6" spans="6:11" ht="12.75">
      <c r="F6" s="145" t="s">
        <v>124</v>
      </c>
      <c r="G6" s="145" t="s">
        <v>125</v>
      </c>
      <c r="H6" s="146"/>
      <c r="I6" s="148" t="s">
        <v>31</v>
      </c>
      <c r="J6" s="149"/>
      <c r="K6" s="150"/>
    </row>
    <row r="7" spans="6:11" ht="12.75">
      <c r="F7" s="145" t="s">
        <v>126</v>
      </c>
      <c r="G7" s="145" t="s">
        <v>127</v>
      </c>
      <c r="H7" s="146"/>
      <c r="I7" s="147"/>
      <c r="J7" s="147"/>
      <c r="K7" s="147"/>
    </row>
    <row r="8" spans="6:11" ht="12.75">
      <c r="F8" s="145" t="s">
        <v>43</v>
      </c>
      <c r="G8" s="145" t="s">
        <v>128</v>
      </c>
      <c r="H8" s="146"/>
      <c r="I8" s="151" t="s">
        <v>43</v>
      </c>
      <c r="J8" s="151" t="s">
        <v>128</v>
      </c>
      <c r="K8" s="147"/>
    </row>
    <row r="9" spans="6:11" ht="12.75">
      <c r="F9" s="152">
        <v>36981</v>
      </c>
      <c r="G9" s="152">
        <v>36707</v>
      </c>
      <c r="H9" s="153"/>
      <c r="I9" s="154">
        <v>36981</v>
      </c>
      <c r="J9" s="154">
        <v>36707</v>
      </c>
      <c r="K9" s="147"/>
    </row>
    <row r="10" spans="6:11" ht="12.75">
      <c r="F10" s="145" t="s">
        <v>56</v>
      </c>
      <c r="G10" s="145" t="s">
        <v>56</v>
      </c>
      <c r="H10" s="146"/>
      <c r="I10" s="151" t="s">
        <v>129</v>
      </c>
      <c r="J10" s="151" t="s">
        <v>129</v>
      </c>
      <c r="K10" s="147"/>
    </row>
    <row r="11" spans="7:11" ht="15.75">
      <c r="G11" s="142"/>
      <c r="H11" s="142"/>
      <c r="I11" s="147"/>
      <c r="J11" s="147"/>
      <c r="K11" s="147"/>
    </row>
    <row r="12" spans="2:11" ht="12.75">
      <c r="B12" s="1">
        <v>1</v>
      </c>
      <c r="C12" s="1" t="s">
        <v>130</v>
      </c>
      <c r="F12" s="143">
        <f aca="true" t="shared" si="0" ref="F12:G15">+I12/1000</f>
        <v>8125.416449999999</v>
      </c>
      <c r="G12" s="143">
        <f t="shared" si="0"/>
        <v>8139.353</v>
      </c>
      <c r="H12" s="143"/>
      <c r="I12" s="147">
        <f>'[1]Con B&amp;S'!H22</f>
        <v>8125416.449999999</v>
      </c>
      <c r="J12" s="147">
        <v>8139353</v>
      </c>
      <c r="K12" s="147">
        <f>+I12-J12</f>
        <v>-13936.550000000745</v>
      </c>
    </row>
    <row r="13" spans="2:11" ht="12.75">
      <c r="B13" s="1">
        <v>2</v>
      </c>
      <c r="C13" s="1" t="s">
        <v>131</v>
      </c>
      <c r="F13" s="143">
        <f t="shared" si="0"/>
        <v>10500.189</v>
      </c>
      <c r="G13" s="143">
        <f t="shared" si="0"/>
        <v>18612.712</v>
      </c>
      <c r="H13" s="143"/>
      <c r="I13" s="147">
        <f>'[1]Con B&amp;S'!H25</f>
        <v>10500189</v>
      </c>
      <c r="J13" s="147">
        <v>18612712</v>
      </c>
      <c r="K13" s="147">
        <f aca="true" t="shared" si="1" ref="K13:K66">+I13-J13</f>
        <v>-8112523</v>
      </c>
    </row>
    <row r="14" spans="2:11" ht="12.75">
      <c r="B14" s="1">
        <v>3</v>
      </c>
      <c r="C14" s="1" t="s">
        <v>132</v>
      </c>
      <c r="F14" s="143">
        <f t="shared" si="0"/>
        <v>196472.523</v>
      </c>
      <c r="G14" s="143">
        <f t="shared" si="0"/>
        <v>197472.523</v>
      </c>
      <c r="H14" s="143"/>
      <c r="I14" s="147">
        <f>'[1]Con B&amp;S'!H26</f>
        <v>196472523</v>
      </c>
      <c r="J14" s="147">
        <f>196906942+565581</f>
        <v>197472523</v>
      </c>
      <c r="K14" s="147">
        <f t="shared" si="1"/>
        <v>-1000000</v>
      </c>
    </row>
    <row r="15" spans="2:11" ht="12.75">
      <c r="B15" s="1">
        <v>4</v>
      </c>
      <c r="C15" s="1" t="s">
        <v>133</v>
      </c>
      <c r="F15" s="143">
        <f t="shared" si="0"/>
        <v>-0.00039999999990686776</v>
      </c>
      <c r="G15" s="143">
        <f t="shared" si="0"/>
        <v>0</v>
      </c>
      <c r="H15" s="143"/>
      <c r="I15" s="147">
        <f>'[1]Con B&amp;S'!H66</f>
        <v>-0.39999999990686774</v>
      </c>
      <c r="J15" s="147">
        <v>0</v>
      </c>
      <c r="K15" s="147">
        <f t="shared" si="1"/>
        <v>-0.39999999990686774</v>
      </c>
    </row>
    <row r="16" spans="2:11" ht="12.75">
      <c r="B16" s="1">
        <v>5</v>
      </c>
      <c r="C16" s="1" t="s">
        <v>140</v>
      </c>
      <c r="F16" s="143">
        <f>+I16/1000</f>
        <v>265598.28687999997</v>
      </c>
      <c r="G16" s="143">
        <f>+J16/1000</f>
        <v>265377.311</v>
      </c>
      <c r="H16" s="143"/>
      <c r="I16" s="147">
        <f>'[1]Con B&amp;S'!H31+'[1]Con B&amp;S'!H27</f>
        <v>265598286.88</v>
      </c>
      <c r="J16" s="147">
        <f>213641998+51735313</f>
        <v>265377311</v>
      </c>
      <c r="K16" s="147">
        <f>I16-J16</f>
        <v>220975.87999999523</v>
      </c>
    </row>
    <row r="17" spans="2:11" ht="12.75">
      <c r="B17" s="1">
        <v>6</v>
      </c>
      <c r="C17" s="1" t="s">
        <v>244</v>
      </c>
      <c r="F17" s="143">
        <f>+I17/1000</f>
        <v>653.078</v>
      </c>
      <c r="G17" s="143">
        <f>+J17/1000</f>
        <v>790.249</v>
      </c>
      <c r="H17" s="143"/>
      <c r="I17" s="147">
        <f>'[1]Con B&amp;S'!H23</f>
        <v>653078</v>
      </c>
      <c r="J17" s="147">
        <v>790249</v>
      </c>
      <c r="K17" s="147">
        <f>+I17-J17</f>
        <v>-137171</v>
      </c>
    </row>
    <row r="18" spans="9:11" ht="15.75">
      <c r="I18" s="147"/>
      <c r="J18" s="147"/>
      <c r="K18" s="147">
        <f t="shared" si="1"/>
        <v>0</v>
      </c>
    </row>
    <row r="19" spans="2:11" ht="15.75">
      <c r="B19" s="1">
        <v>7</v>
      </c>
      <c r="C19" s="1" t="s">
        <v>134</v>
      </c>
      <c r="F19" s="143"/>
      <c r="G19" s="143"/>
      <c r="I19" s="147"/>
      <c r="J19" s="147"/>
      <c r="K19" s="147">
        <f t="shared" si="1"/>
        <v>0</v>
      </c>
    </row>
    <row r="20" spans="4:11" ht="15.75">
      <c r="D20" s="1" t="s">
        <v>135</v>
      </c>
      <c r="F20" s="143">
        <f aca="true" t="shared" si="2" ref="F20:G25">+I20/1000</f>
        <v>4958.415</v>
      </c>
      <c r="G20" s="143">
        <f t="shared" si="2"/>
        <v>4918.488</v>
      </c>
      <c r="I20" s="147">
        <f>'[1]Con B&amp;S'!H32</f>
        <v>4958415</v>
      </c>
      <c r="J20" s="147">
        <v>4918488</v>
      </c>
      <c r="K20" s="147">
        <f t="shared" si="1"/>
        <v>39927</v>
      </c>
    </row>
    <row r="21" spans="4:11" ht="15.75">
      <c r="D21" s="1" t="s">
        <v>136</v>
      </c>
      <c r="F21" s="143">
        <f t="shared" si="2"/>
        <v>33309.59708</v>
      </c>
      <c r="G21" s="143">
        <f t="shared" si="2"/>
        <v>34319.118</v>
      </c>
      <c r="H21" s="142"/>
      <c r="I21" s="147">
        <f>'[1]Con B&amp;S'!H33</f>
        <v>33309597.08</v>
      </c>
      <c r="J21" s="147">
        <f>28113855+6205263</f>
        <v>34319118</v>
      </c>
      <c r="K21" s="147">
        <f t="shared" si="1"/>
        <v>-1009520.9200000018</v>
      </c>
    </row>
    <row r="22" spans="4:11" ht="15.75">
      <c r="D22" s="1" t="s">
        <v>137</v>
      </c>
      <c r="F22" s="143">
        <f t="shared" si="2"/>
        <v>27073.737</v>
      </c>
      <c r="G22" s="143">
        <f t="shared" si="2"/>
        <v>6971.274</v>
      </c>
      <c r="H22" s="142"/>
      <c r="I22" s="147">
        <f>'[1]Con B&amp;S'!H39</f>
        <v>27073737</v>
      </c>
      <c r="J22" s="147">
        <f>6971274</f>
        <v>6971274</v>
      </c>
      <c r="K22" s="147">
        <f t="shared" si="1"/>
        <v>20102463</v>
      </c>
    </row>
    <row r="23" spans="4:11" ht="15.75">
      <c r="D23" s="1" t="s">
        <v>138</v>
      </c>
      <c r="F23" s="143">
        <f t="shared" si="2"/>
        <v>6451.220679999999</v>
      </c>
      <c r="G23" s="143">
        <f t="shared" si="2"/>
        <v>5708.528</v>
      </c>
      <c r="H23" s="142"/>
      <c r="I23" s="147">
        <f>'[1]Con B&amp;S'!H40</f>
        <v>6451220.68</v>
      </c>
      <c r="J23" s="147">
        <v>5708528</v>
      </c>
      <c r="K23" s="147">
        <f t="shared" si="1"/>
        <v>742692.6799999997</v>
      </c>
    </row>
    <row r="24" spans="4:11" ht="15.75">
      <c r="D24" s="1" t="s">
        <v>139</v>
      </c>
      <c r="F24" s="143"/>
      <c r="G24" s="143"/>
      <c r="H24" s="142"/>
      <c r="I24" s="147"/>
      <c r="J24" s="147"/>
      <c r="K24" s="147">
        <f t="shared" si="1"/>
        <v>0</v>
      </c>
    </row>
    <row r="25" spans="5:11" ht="15.75">
      <c r="E25" s="1" t="s">
        <v>141</v>
      </c>
      <c r="F25" s="143">
        <f t="shared" si="2"/>
        <v>14516.03071</v>
      </c>
      <c r="G25" s="143">
        <f t="shared" si="2"/>
        <v>20336.906</v>
      </c>
      <c r="H25" s="142"/>
      <c r="I25" s="147">
        <f>'[1]Con B&amp;S'!H34+'[1]Con B&amp;S'!H38</f>
        <v>14516030.71</v>
      </c>
      <c r="J25" s="147">
        <f>10424169+9912737</f>
        <v>20336906</v>
      </c>
      <c r="K25" s="147">
        <f t="shared" si="1"/>
        <v>-5820875.289999999</v>
      </c>
    </row>
    <row r="26" spans="6:11" ht="15.75">
      <c r="F26" s="71"/>
      <c r="G26" s="142"/>
      <c r="H26" s="142"/>
      <c r="I26" s="147"/>
      <c r="J26" s="147"/>
      <c r="K26" s="147">
        <f t="shared" si="1"/>
        <v>0</v>
      </c>
    </row>
    <row r="27" spans="6:11" ht="16.5" thickBot="1">
      <c r="F27" s="155">
        <f>SUM(F20:F25)</f>
        <v>86309.00047000001</v>
      </c>
      <c r="G27" s="155">
        <f>SUM(G20:G25)</f>
        <v>72254.314</v>
      </c>
      <c r="H27" s="142"/>
      <c r="I27" s="156">
        <f>SUM(I20:I25)</f>
        <v>86309000.47</v>
      </c>
      <c r="J27" s="156">
        <f>SUM(J20:J25)</f>
        <v>72254314</v>
      </c>
      <c r="K27" s="147">
        <f t="shared" si="1"/>
        <v>14054686.469999999</v>
      </c>
    </row>
    <row r="28" spans="2:14" ht="16.5" thickTop="1">
      <c r="B28" s="1">
        <v>8</v>
      </c>
      <c r="C28" s="1" t="s">
        <v>142</v>
      </c>
      <c r="F28" s="71"/>
      <c r="G28" s="142"/>
      <c r="H28" s="142"/>
      <c r="I28" s="147"/>
      <c r="J28" s="147"/>
      <c r="K28" s="147"/>
      <c r="N28" s="143"/>
    </row>
    <row r="29" spans="4:11" ht="15.75">
      <c r="D29" s="1" t="s">
        <v>143</v>
      </c>
      <c r="F29" s="143">
        <f aca="true" t="shared" si="3" ref="F29:G33">+I29/1000</f>
        <v>616686.3490299999</v>
      </c>
      <c r="G29" s="143">
        <f t="shared" si="3"/>
        <v>613932.908</v>
      </c>
      <c r="H29" s="142"/>
      <c r="I29" s="147">
        <f>'[1]Con B&amp;S'!H50+'[1]Con B&amp;S'!H59</f>
        <v>616686349.03</v>
      </c>
      <c r="J29" s="147">
        <f>387631376+414125+195639967+30247440</f>
        <v>613932908</v>
      </c>
      <c r="K29" s="147">
        <f t="shared" si="1"/>
        <v>2753441.0299999714</v>
      </c>
    </row>
    <row r="30" spans="4:14" ht="15.75">
      <c r="D30" s="1" t="s">
        <v>144</v>
      </c>
      <c r="F30" s="143">
        <f t="shared" si="3"/>
        <v>64418.723490000004</v>
      </c>
      <c r="G30" s="143">
        <f t="shared" si="3"/>
        <v>64664.408</v>
      </c>
      <c r="H30" s="142"/>
      <c r="I30" s="147">
        <f>'[1]Con B&amp;S'!H48</f>
        <v>64418723.49</v>
      </c>
      <c r="J30" s="147">
        <v>64664408</v>
      </c>
      <c r="K30" s="147">
        <f t="shared" si="1"/>
        <v>-245684.5099999979</v>
      </c>
      <c r="N30" s="143"/>
    </row>
    <row r="31" spans="4:14" ht="15.75">
      <c r="D31" s="1" t="s">
        <v>145</v>
      </c>
      <c r="F31" s="143">
        <f t="shared" si="3"/>
        <v>319087.4013299999</v>
      </c>
      <c r="G31" s="143">
        <f t="shared" si="3"/>
        <v>268466.132</v>
      </c>
      <c r="H31" s="142"/>
      <c r="I31" s="147">
        <f>'[1]Con B&amp;S'!H49+'[1]Con B&amp;S'!H51+'[1]Con B&amp;S'!H60+'[1]Con B&amp;S'!H57+'[1]Con B&amp;S'!H56</f>
        <v>319087401.3299999</v>
      </c>
      <c r="J31" s="147">
        <f>202577360+59812127+6076645</f>
        <v>268466132</v>
      </c>
      <c r="K31" s="147">
        <f t="shared" si="1"/>
        <v>50621269.32999992</v>
      </c>
      <c r="N31" s="143"/>
    </row>
    <row r="32" spans="4:11" ht="15.75">
      <c r="D32" s="1" t="s">
        <v>146</v>
      </c>
      <c r="F32" s="143">
        <f t="shared" si="3"/>
        <v>24382.600100000003</v>
      </c>
      <c r="G32" s="143">
        <f t="shared" si="3"/>
        <v>16370.904</v>
      </c>
      <c r="H32" s="142"/>
      <c r="I32" s="147">
        <f>'[1]Con B&amp;S'!H58</f>
        <v>24382600.1</v>
      </c>
      <c r="J32" s="147">
        <v>16370904</v>
      </c>
      <c r="K32" s="147">
        <f t="shared" si="1"/>
        <v>8011696.1000000015</v>
      </c>
    </row>
    <row r="33" spans="4:11" ht="15.75">
      <c r="D33" s="1" t="s">
        <v>147</v>
      </c>
      <c r="F33" s="143">
        <f t="shared" si="3"/>
        <v>0</v>
      </c>
      <c r="G33" s="143">
        <f t="shared" si="3"/>
        <v>0</v>
      </c>
      <c r="H33" s="142"/>
      <c r="I33" s="147"/>
      <c r="J33" s="147"/>
      <c r="K33" s="147">
        <f t="shared" si="1"/>
        <v>0</v>
      </c>
    </row>
    <row r="34" spans="7:11" ht="15.75">
      <c r="G34" s="142"/>
      <c r="H34" s="142"/>
      <c r="I34" s="147"/>
      <c r="J34" s="147"/>
      <c r="K34" s="147">
        <f t="shared" si="1"/>
        <v>0</v>
      </c>
    </row>
    <row r="35" spans="6:11" ht="15.75">
      <c r="F35" s="157">
        <f>SUM(F29:F34)</f>
        <v>1024575.0739499999</v>
      </c>
      <c r="G35" s="157">
        <f>SUM(G29:G34)</f>
        <v>963434.3520000001</v>
      </c>
      <c r="H35" s="142"/>
      <c r="I35" s="158">
        <f>SUM(I29:I34)</f>
        <v>1024575073.9499999</v>
      </c>
      <c r="J35" s="158">
        <f>SUM(J29:J34)</f>
        <v>963434352</v>
      </c>
      <c r="K35" s="147">
        <f t="shared" si="1"/>
        <v>61140721.94999993</v>
      </c>
    </row>
    <row r="36" spans="6:11" ht="15.75">
      <c r="F36" s="71"/>
      <c r="G36" s="142"/>
      <c r="H36" s="142"/>
      <c r="I36" s="147"/>
      <c r="J36" s="147"/>
      <c r="K36" s="147">
        <f t="shared" si="1"/>
        <v>0</v>
      </c>
    </row>
    <row r="37" spans="7:11" ht="15.75">
      <c r="G37" s="142"/>
      <c r="H37" s="142"/>
      <c r="I37" s="147"/>
      <c r="J37" s="147"/>
      <c r="K37" s="147">
        <f t="shared" si="1"/>
        <v>0</v>
      </c>
    </row>
    <row r="38" spans="2:11" ht="15.75">
      <c r="B38" s="1">
        <v>9</v>
      </c>
      <c r="C38" s="1" t="s">
        <v>148</v>
      </c>
      <c r="F38" s="143">
        <f>+F27-F35</f>
        <v>-938266.0734799999</v>
      </c>
      <c r="G38" s="143">
        <f>+G27-G35</f>
        <v>-891180.0380000001</v>
      </c>
      <c r="H38" s="142"/>
      <c r="I38" s="147">
        <f>+I27-I35</f>
        <v>-938266073.4799999</v>
      </c>
      <c r="J38" s="147">
        <f>+J27-J35</f>
        <v>-891180038</v>
      </c>
      <c r="K38" s="147">
        <f t="shared" si="1"/>
        <v>-47086035.4799999</v>
      </c>
    </row>
    <row r="39" spans="7:11" ht="15.75">
      <c r="G39" s="142"/>
      <c r="H39" s="142"/>
      <c r="I39" s="147"/>
      <c r="J39" s="147"/>
      <c r="K39" s="147">
        <f t="shared" si="1"/>
        <v>0</v>
      </c>
    </row>
    <row r="40" spans="6:11" ht="16.5" thickBot="1">
      <c r="F40" s="155">
        <f>+SUM(F12:F17,F38)</f>
        <v>-456916.58054999996</v>
      </c>
      <c r="G40" s="155">
        <f>+SUM(G12:G17,G38)</f>
        <v>-400787.8900000001</v>
      </c>
      <c r="H40" s="142"/>
      <c r="I40" s="156">
        <f>+SUM(I12:I17,I38)</f>
        <v>-456916580.54999995</v>
      </c>
      <c r="J40" s="156">
        <f>+SUM(J12:J17,J38)</f>
        <v>-400787890</v>
      </c>
      <c r="K40" s="147">
        <f t="shared" si="1"/>
        <v>-56128690.54999995</v>
      </c>
    </row>
    <row r="41" spans="7:11" ht="16.5" thickTop="1">
      <c r="G41" s="142"/>
      <c r="H41" s="142"/>
      <c r="I41" s="147"/>
      <c r="J41" s="147"/>
      <c r="K41" s="147">
        <f t="shared" si="1"/>
        <v>0</v>
      </c>
    </row>
    <row r="42" spans="2:11" ht="15.75">
      <c r="B42" s="1">
        <v>10</v>
      </c>
      <c r="C42" s="1" t="s">
        <v>149</v>
      </c>
      <c r="G42" s="142"/>
      <c r="H42" s="142"/>
      <c r="I42" s="147"/>
      <c r="J42" s="147"/>
      <c r="K42" s="147">
        <f t="shared" si="1"/>
        <v>0</v>
      </c>
    </row>
    <row r="43" spans="3:11" ht="15.75">
      <c r="C43" s="1" t="s">
        <v>150</v>
      </c>
      <c r="F43" s="143">
        <f>+I43/1000</f>
        <v>188275.313</v>
      </c>
      <c r="G43" s="143">
        <f>+J43/1000</f>
        <v>188275.313</v>
      </c>
      <c r="H43" s="142"/>
      <c r="I43" s="147">
        <f>'[1]Con B&amp;S'!H8</f>
        <v>188275313</v>
      </c>
      <c r="J43" s="147">
        <v>188275313</v>
      </c>
      <c r="K43" s="147">
        <f t="shared" si="1"/>
        <v>0</v>
      </c>
    </row>
    <row r="44" spans="3:11" ht="15.75">
      <c r="C44" s="1" t="s">
        <v>151</v>
      </c>
      <c r="F44" s="143"/>
      <c r="G44" s="143"/>
      <c r="H44" s="142"/>
      <c r="I44" s="147"/>
      <c r="J44" s="147"/>
      <c r="K44" s="147">
        <f t="shared" si="1"/>
        <v>0</v>
      </c>
    </row>
    <row r="45" spans="4:11" ht="15.75">
      <c r="D45" s="1" t="s">
        <v>152</v>
      </c>
      <c r="F45" s="143">
        <f aca="true" t="shared" si="4" ref="F45:G51">+I45/1000</f>
        <v>403292.627</v>
      </c>
      <c r="G45" s="143">
        <f t="shared" si="4"/>
        <v>403292.627</v>
      </c>
      <c r="H45" s="142"/>
      <c r="I45" s="147">
        <f>+'[1]Con B&amp;S'!H10-'[1]KLSE BS'!I48-'[1]KLSE BS'!I50</f>
        <v>403292627</v>
      </c>
      <c r="J45" s="147">
        <f>403292628-1</f>
        <v>403292627</v>
      </c>
      <c r="K45" s="147">
        <f t="shared" si="1"/>
        <v>0</v>
      </c>
    </row>
    <row r="46" spans="4:11" ht="15.75">
      <c r="D46" s="1" t="s">
        <v>153</v>
      </c>
      <c r="F46" s="143">
        <f t="shared" si="4"/>
        <v>0</v>
      </c>
      <c r="G46" s="143">
        <f t="shared" si="4"/>
        <v>0</v>
      </c>
      <c r="H46" s="142"/>
      <c r="I46" s="147"/>
      <c r="J46" s="147"/>
      <c r="K46" s="147">
        <f t="shared" si="1"/>
        <v>0</v>
      </c>
    </row>
    <row r="47" spans="4:11" ht="15.75">
      <c r="D47" s="1" t="s">
        <v>154</v>
      </c>
      <c r="F47" s="143">
        <f t="shared" si="4"/>
        <v>0</v>
      </c>
      <c r="G47" s="143">
        <f t="shared" si="4"/>
        <v>0</v>
      </c>
      <c r="H47" s="142"/>
      <c r="I47" s="147"/>
      <c r="J47" s="147"/>
      <c r="K47" s="147">
        <f t="shared" si="1"/>
        <v>0</v>
      </c>
    </row>
    <row r="48" spans="5:11" ht="15.75">
      <c r="E48" s="1" t="s">
        <v>155</v>
      </c>
      <c r="F48" s="143">
        <f t="shared" si="4"/>
        <v>24711.492</v>
      </c>
      <c r="G48" s="143">
        <f t="shared" si="4"/>
        <v>24711.492</v>
      </c>
      <c r="H48" s="142"/>
      <c r="I48" s="147">
        <v>24711492</v>
      </c>
      <c r="J48" s="147">
        <v>24711492</v>
      </c>
      <c r="K48" s="147"/>
    </row>
    <row r="49" spans="5:11" ht="15.75">
      <c r="E49" s="1" t="s">
        <v>156</v>
      </c>
      <c r="F49" s="143">
        <f t="shared" si="4"/>
        <v>1095.53</v>
      </c>
      <c r="G49" s="143">
        <f t="shared" si="4"/>
        <v>1095.529</v>
      </c>
      <c r="H49" s="142"/>
      <c r="I49" s="147">
        <f>+'[1]Con B&amp;S'!H11</f>
        <v>1095530</v>
      </c>
      <c r="J49" s="147">
        <v>1095529</v>
      </c>
      <c r="K49" s="147"/>
    </row>
    <row r="50" spans="5:11" ht="15.75">
      <c r="E50" s="1" t="s">
        <v>157</v>
      </c>
      <c r="F50" s="143">
        <f t="shared" si="4"/>
        <v>671.919</v>
      </c>
      <c r="G50" s="143">
        <f t="shared" si="4"/>
        <v>671.919</v>
      </c>
      <c r="H50" s="142"/>
      <c r="I50" s="147">
        <f>671919</f>
        <v>671919</v>
      </c>
      <c r="J50" s="147">
        <f>545169+126750</f>
        <v>671919</v>
      </c>
      <c r="K50" s="147"/>
    </row>
    <row r="51" spans="4:11" ht="15.75">
      <c r="D51" s="1" t="s">
        <v>158</v>
      </c>
      <c r="F51" s="143">
        <f t="shared" si="4"/>
        <v>0</v>
      </c>
      <c r="G51" s="143">
        <f t="shared" si="4"/>
        <v>0</v>
      </c>
      <c r="H51" s="142"/>
      <c r="I51" s="147"/>
      <c r="J51" s="147"/>
      <c r="K51" s="147">
        <f t="shared" si="1"/>
        <v>0</v>
      </c>
    </row>
    <row r="52" spans="6:11" ht="15.75">
      <c r="F52" s="143"/>
      <c r="G52" s="143"/>
      <c r="H52" s="142"/>
      <c r="I52" s="147"/>
      <c r="J52" s="147"/>
      <c r="K52" s="147"/>
    </row>
    <row r="53" spans="6:11" ht="15.75">
      <c r="F53" s="143"/>
      <c r="G53" s="143"/>
      <c r="H53" s="142"/>
      <c r="I53" s="147"/>
      <c r="J53" s="147"/>
      <c r="K53" s="147"/>
    </row>
    <row r="54" spans="4:11" ht="15.75">
      <c r="D54" s="1" t="s">
        <v>159</v>
      </c>
      <c r="F54" s="143">
        <f>+I54/1000</f>
        <v>-1093090.86599</v>
      </c>
      <c r="G54" s="143">
        <f>+J54/1000</f>
        <v>-1040753.713</v>
      </c>
      <c r="H54" s="142"/>
      <c r="I54" s="147">
        <f>'[1]Con B&amp;S'!H12</f>
        <v>-1093090865.99</v>
      </c>
      <c r="J54" s="147">
        <v>-1040753713</v>
      </c>
      <c r="K54" s="147">
        <f t="shared" si="1"/>
        <v>-52337152.99000001</v>
      </c>
    </row>
    <row r="55" spans="4:11" ht="15.75">
      <c r="D55" s="1" t="s">
        <v>147</v>
      </c>
      <c r="I55" s="147"/>
      <c r="J55" s="147"/>
      <c r="K55" s="147"/>
    </row>
    <row r="56" spans="6:11" ht="15.75">
      <c r="F56" s="143"/>
      <c r="G56" s="143"/>
      <c r="H56" s="142"/>
      <c r="I56" s="147"/>
      <c r="J56" s="147"/>
      <c r="K56" s="147">
        <f t="shared" si="1"/>
        <v>0</v>
      </c>
    </row>
    <row r="57" spans="7:11" ht="15.75">
      <c r="G57" s="142"/>
      <c r="H57" s="142"/>
      <c r="I57" s="147"/>
      <c r="J57" s="147"/>
      <c r="K57" s="147">
        <f t="shared" si="1"/>
        <v>0</v>
      </c>
    </row>
    <row r="58" spans="2:11" ht="15.75">
      <c r="B58" s="1">
        <v>11</v>
      </c>
      <c r="C58" s="1" t="s">
        <v>160</v>
      </c>
      <c r="F58" s="143">
        <f aca="true" t="shared" si="5" ref="F58:G60">+I58/1000</f>
        <v>0</v>
      </c>
      <c r="G58" s="143">
        <f t="shared" si="5"/>
        <v>0</v>
      </c>
      <c r="H58" s="142"/>
      <c r="I58" s="147">
        <f>'[1]Con B&amp;S'!H14</f>
        <v>0</v>
      </c>
      <c r="J58" s="147">
        <v>0</v>
      </c>
      <c r="K58" s="147">
        <f t="shared" si="1"/>
        <v>0</v>
      </c>
    </row>
    <row r="59" spans="2:11" ht="15.75">
      <c r="B59" s="1">
        <v>12</v>
      </c>
      <c r="C59" s="1" t="s">
        <v>161</v>
      </c>
      <c r="F59" s="143">
        <f t="shared" si="5"/>
        <v>6206.13844</v>
      </c>
      <c r="G59" s="143">
        <f t="shared" si="5"/>
        <v>9997.677</v>
      </c>
      <c r="H59" s="142"/>
      <c r="I59" s="147">
        <f>'[1]Con B&amp;S'!H18</f>
        <v>6206138.4399999995</v>
      </c>
      <c r="J59" s="147">
        <v>9997677</v>
      </c>
      <c r="K59" s="147">
        <f t="shared" si="1"/>
        <v>-3791538.5600000005</v>
      </c>
    </row>
    <row r="60" spans="2:11" ht="15.75">
      <c r="B60" s="1">
        <v>13</v>
      </c>
      <c r="C60" s="1" t="s">
        <v>162</v>
      </c>
      <c r="F60" s="143">
        <f t="shared" si="5"/>
        <v>11921.266</v>
      </c>
      <c r="G60" s="143">
        <f t="shared" si="5"/>
        <v>11921.266</v>
      </c>
      <c r="H60" s="142"/>
      <c r="I60" s="147">
        <f>'[1]Con B&amp;S'!H17</f>
        <v>11921266</v>
      </c>
      <c r="J60" s="147">
        <v>11921266</v>
      </c>
      <c r="K60" s="147">
        <f t="shared" si="1"/>
        <v>0</v>
      </c>
    </row>
    <row r="61" spans="7:11" ht="15.75">
      <c r="G61" s="142"/>
      <c r="H61" s="142"/>
      <c r="I61" s="147"/>
      <c r="J61" s="147"/>
      <c r="K61" s="147">
        <f t="shared" si="1"/>
        <v>0</v>
      </c>
    </row>
    <row r="62" spans="6:11" ht="16.5" thickBot="1">
      <c r="F62" s="155">
        <f>SUM(F43:F61)</f>
        <v>-456916.58055000013</v>
      </c>
      <c r="G62" s="155">
        <f>SUM(G43:G61)</f>
        <v>-400787.8900000001</v>
      </c>
      <c r="H62" s="142"/>
      <c r="I62" s="156">
        <f>SUM(I43:I61)</f>
        <v>-456916580.55</v>
      </c>
      <c r="J62" s="156">
        <f>SUM(J43:J61)</f>
        <v>-400787890</v>
      </c>
      <c r="K62" s="147">
        <f t="shared" si="1"/>
        <v>-56128690.55000001</v>
      </c>
    </row>
    <row r="63" spans="6:11" ht="16.5" thickTop="1">
      <c r="F63" s="159"/>
      <c r="G63" s="159"/>
      <c r="H63" s="142"/>
      <c r="I63" s="160"/>
      <c r="J63" s="160"/>
      <c r="K63" s="147"/>
    </row>
    <row r="64" spans="3:11" ht="15.75">
      <c r="C64" s="1" t="s">
        <v>163</v>
      </c>
      <c r="F64" s="161">
        <f>SUM(F43:F54)/188275</f>
        <v>-2.5231389456380304</v>
      </c>
      <c r="G64" s="161">
        <f>SUM(G43:G54)/188275</f>
        <v>-2.2451564626211664</v>
      </c>
      <c r="H64" s="142"/>
      <c r="I64" s="147"/>
      <c r="J64" s="147"/>
      <c r="K64" s="147">
        <f t="shared" si="1"/>
        <v>0</v>
      </c>
    </row>
    <row r="65" spans="7:11" ht="15.75">
      <c r="G65" s="142"/>
      <c r="H65" s="142"/>
      <c r="I65" s="147"/>
      <c r="J65" s="147"/>
      <c r="K65" s="147"/>
    </row>
    <row r="66" spans="6:11" ht="15.75">
      <c r="F66" s="143">
        <f>+F40-F62</f>
        <v>0</v>
      </c>
      <c r="G66" s="143">
        <f>+G40-G62</f>
        <v>0</v>
      </c>
      <c r="H66" s="142"/>
      <c r="I66" s="147">
        <f>+I40-I62</f>
        <v>0</v>
      </c>
      <c r="J66" s="147">
        <f>+J40-J62</f>
        <v>0</v>
      </c>
      <c r="K66" s="147">
        <f t="shared" si="1"/>
        <v>0</v>
      </c>
    </row>
    <row r="67" spans="7:10" ht="15.75">
      <c r="G67" s="142"/>
      <c r="H67" s="142"/>
      <c r="I67" s="143"/>
      <c r="J67" s="143"/>
    </row>
    <row r="68" spans="7:10" ht="15.75">
      <c r="G68" s="142"/>
      <c r="H68" s="142"/>
      <c r="I68" s="143"/>
      <c r="J68" s="143"/>
    </row>
    <row r="69" spans="7:10" ht="15.75">
      <c r="G69" s="142"/>
      <c r="H69" s="142"/>
      <c r="I69" s="143"/>
      <c r="J69" s="143"/>
    </row>
    <row r="70" spans="7:10" ht="15.75">
      <c r="G70" s="142"/>
      <c r="H70" s="142"/>
      <c r="I70" s="143"/>
      <c r="J70" s="143"/>
    </row>
    <row r="71" spans="7:10" ht="15.75">
      <c r="G71" s="142"/>
      <c r="H71" s="142"/>
      <c r="I71" s="143"/>
      <c r="J71" s="143"/>
    </row>
    <row r="72" spans="7:10" ht="15.75">
      <c r="G72" s="142"/>
      <c r="H72" s="142"/>
      <c r="I72" s="143"/>
      <c r="J72" s="143"/>
    </row>
    <row r="73" spans="7:10" ht="15.75">
      <c r="G73" s="142"/>
      <c r="H73" s="142"/>
      <c r="I73" s="143"/>
      <c r="J73" s="143"/>
    </row>
    <row r="74" spans="7:10" ht="15.75">
      <c r="G74" s="142"/>
      <c r="H74" s="142"/>
      <c r="I74" s="143"/>
      <c r="J74" s="143"/>
    </row>
    <row r="75" spans="7:10" ht="15.75">
      <c r="G75" s="142"/>
      <c r="H75" s="142"/>
      <c r="I75" s="143"/>
      <c r="J75" s="143"/>
    </row>
    <row r="76" spans="7:10" ht="15.75">
      <c r="G76" s="142"/>
      <c r="H76" s="142"/>
      <c r="I76" s="143"/>
      <c r="J76" s="143"/>
    </row>
    <row r="77" spans="7:10" ht="15.75">
      <c r="G77" s="142"/>
      <c r="H77" s="142"/>
      <c r="I77" s="143"/>
      <c r="J77" s="143"/>
    </row>
    <row r="78" spans="7:10" ht="15.75">
      <c r="G78" s="142"/>
      <c r="H78" s="142"/>
      <c r="I78" s="143"/>
      <c r="J78" s="143"/>
    </row>
    <row r="79" spans="7:10" ht="15.75">
      <c r="G79" s="142"/>
      <c r="H79" s="142"/>
      <c r="I79" s="143"/>
      <c r="J79" s="143"/>
    </row>
    <row r="80" spans="7:10" ht="15.75">
      <c r="G80" s="142"/>
      <c r="H80" s="142"/>
      <c r="I80" s="143"/>
      <c r="J80" s="143"/>
    </row>
    <row r="81" spans="7:10" ht="15.75">
      <c r="G81" s="142"/>
      <c r="H81" s="142"/>
      <c r="I81" s="143"/>
      <c r="J81" s="143"/>
    </row>
    <row r="82" spans="7:10" ht="15.75">
      <c r="G82" s="142"/>
      <c r="H82" s="142"/>
      <c r="I82" s="143"/>
      <c r="J82" s="143"/>
    </row>
    <row r="83" spans="7:10" ht="15.75">
      <c r="G83" s="142"/>
      <c r="H83" s="142"/>
      <c r="I83" s="143"/>
      <c r="J83" s="143"/>
    </row>
    <row r="84" spans="7:10" ht="15.75">
      <c r="G84" s="142"/>
      <c r="H84" s="142"/>
      <c r="I84" s="143"/>
      <c r="J84" s="143"/>
    </row>
    <row r="85" spans="7:10" ht="15.75">
      <c r="G85" s="142"/>
      <c r="H85" s="142"/>
      <c r="I85" s="143"/>
      <c r="J85" s="143"/>
    </row>
    <row r="86" spans="7:10" ht="15.75">
      <c r="G86" s="142"/>
      <c r="H86" s="142"/>
      <c r="I86" s="143"/>
      <c r="J86" s="143"/>
    </row>
    <row r="87" spans="7:10" ht="15.75">
      <c r="G87" s="142"/>
      <c r="H87" s="142"/>
      <c r="I87" s="143"/>
      <c r="J87" s="143"/>
    </row>
    <row r="88" spans="7:10" ht="15.75">
      <c r="G88" s="142"/>
      <c r="H88" s="142"/>
      <c r="I88" s="143"/>
      <c r="J88" s="143"/>
    </row>
    <row r="89" spans="7:10" ht="15.75">
      <c r="G89" s="142"/>
      <c r="H89" s="142"/>
      <c r="I89" s="143"/>
      <c r="J89" s="143"/>
    </row>
    <row r="90" spans="7:10" ht="15.75">
      <c r="G90" s="142"/>
      <c r="H90" s="142"/>
      <c r="I90" s="143"/>
      <c r="J90" s="143"/>
    </row>
    <row r="91" spans="7:10" ht="15.75">
      <c r="G91" s="142"/>
      <c r="H91" s="142"/>
      <c r="I91" s="143"/>
      <c r="J91" s="143"/>
    </row>
    <row r="92" spans="7:10" ht="15.75">
      <c r="G92" s="142"/>
      <c r="H92" s="142"/>
      <c r="I92" s="143"/>
      <c r="J92" s="143"/>
    </row>
    <row r="93" spans="7:10" ht="15.75">
      <c r="G93" s="142"/>
      <c r="H93" s="142"/>
      <c r="I93" s="143"/>
      <c r="J93" s="143"/>
    </row>
    <row r="94" spans="7:10" ht="15.75">
      <c r="G94" s="142"/>
      <c r="H94" s="142"/>
      <c r="I94" s="143"/>
      <c r="J94" s="143"/>
    </row>
    <row r="95" spans="7:10" ht="15.75">
      <c r="G95" s="142"/>
      <c r="H95" s="142"/>
      <c r="I95" s="143"/>
      <c r="J95" s="143"/>
    </row>
  </sheetData>
  <printOptions/>
  <pageMargins left="0.75" right="0.75" top="1" bottom="1" header="0.5" footer="0.5"/>
  <pageSetup horizontalDpi="600" verticalDpi="600" orientation="portrait" paperSize="9" scale="64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136"/>
  <sheetViews>
    <sheetView zoomScale="80" zoomScaleNormal="80" workbookViewId="0" topLeftCell="A109">
      <selection activeCell="I124" sqref="I124"/>
    </sheetView>
  </sheetViews>
  <sheetFormatPr defaultColWidth="9.140625" defaultRowHeight="12.75"/>
  <cols>
    <col min="1" max="1" width="3.57421875" style="0" customWidth="1"/>
    <col min="2" max="2" width="3.28125" style="0" customWidth="1"/>
    <col min="5" max="5" width="8.421875" style="0" customWidth="1"/>
    <col min="6" max="6" width="10.28125" style="0" customWidth="1"/>
    <col min="9" max="9" width="10.28125" style="0" customWidth="1"/>
    <col min="10" max="10" width="9.57421875" style="0" customWidth="1"/>
    <col min="11" max="11" width="8.57421875" style="0" customWidth="1"/>
  </cols>
  <sheetData>
    <row r="2" ht="12.75">
      <c r="A2" s="162" t="s">
        <v>121</v>
      </c>
    </row>
    <row r="3" ht="12.75">
      <c r="A3" s="162" t="s">
        <v>164</v>
      </c>
    </row>
    <row r="4" ht="12.75">
      <c r="A4" s="162"/>
    </row>
    <row r="5" ht="12.75">
      <c r="A5" s="163" t="s">
        <v>165</v>
      </c>
    </row>
    <row r="7" spans="1:2" ht="12.75">
      <c r="A7">
        <v>1</v>
      </c>
      <c r="B7" s="162" t="s">
        <v>166</v>
      </c>
    </row>
    <row r="8" ht="12.75">
      <c r="B8" t="s">
        <v>167</v>
      </c>
    </row>
    <row r="9" ht="12.75">
      <c r="B9" t="s">
        <v>168</v>
      </c>
    </row>
    <row r="11" spans="1:11" ht="13.5" customHeight="1">
      <c r="A11">
        <v>2</v>
      </c>
      <c r="B11" s="162" t="s">
        <v>169</v>
      </c>
      <c r="I11" s="164" t="s">
        <v>170</v>
      </c>
      <c r="K11" s="164" t="s">
        <v>171</v>
      </c>
    </row>
    <row r="12" spans="2:11" ht="13.5" customHeight="1">
      <c r="B12" s="162"/>
      <c r="I12" s="164" t="s">
        <v>172</v>
      </c>
      <c r="K12" s="164" t="s">
        <v>173</v>
      </c>
    </row>
    <row r="13" spans="2:11" ht="13.5" customHeight="1">
      <c r="B13" s="162"/>
      <c r="I13" s="164" t="s">
        <v>174</v>
      </c>
      <c r="K13" s="164" t="s">
        <v>174</v>
      </c>
    </row>
    <row r="14" spans="2:11" ht="13.5" customHeight="1">
      <c r="B14" s="162"/>
      <c r="I14" s="164" t="s">
        <v>56</v>
      </c>
      <c r="K14" s="164" t="s">
        <v>56</v>
      </c>
    </row>
    <row r="15" spans="2:11" ht="13.5" customHeight="1">
      <c r="B15" s="162"/>
      <c r="I15" s="164"/>
      <c r="K15" s="164"/>
    </row>
    <row r="16" spans="2:11" ht="12.75">
      <c r="B16" s="165" t="s">
        <v>175</v>
      </c>
      <c r="I16" s="166">
        <f>+'[1]KLSE PL'!G46</f>
        <v>0.3079999999999927</v>
      </c>
      <c r="K16" s="167">
        <f>+'[1]KLSE PL'!I46</f>
        <v>4565.308</v>
      </c>
    </row>
    <row r="17" spans="9:11" ht="12.75">
      <c r="I17" s="166"/>
      <c r="K17" s="167"/>
    </row>
    <row r="19" spans="1:2" ht="12.75">
      <c r="A19">
        <v>3</v>
      </c>
      <c r="B19" s="162" t="s">
        <v>176</v>
      </c>
    </row>
    <row r="20" ht="12.75">
      <c r="B20" s="28" t="s">
        <v>177</v>
      </c>
    </row>
    <row r="22" spans="1:11" ht="12.75">
      <c r="A22">
        <v>4</v>
      </c>
      <c r="B22" s="162" t="s">
        <v>89</v>
      </c>
      <c r="I22" s="164" t="s">
        <v>170</v>
      </c>
      <c r="K22" s="164" t="s">
        <v>171</v>
      </c>
    </row>
    <row r="23" spans="2:11" ht="12.75">
      <c r="B23" s="162"/>
      <c r="I23" s="164" t="s">
        <v>172</v>
      </c>
      <c r="K23" s="164" t="s">
        <v>173</v>
      </c>
    </row>
    <row r="24" spans="2:11" ht="12.75">
      <c r="B24" s="162"/>
      <c r="I24" s="164" t="s">
        <v>174</v>
      </c>
      <c r="K24" s="164" t="s">
        <v>174</v>
      </c>
    </row>
    <row r="25" spans="2:11" ht="12.75">
      <c r="B25" s="162"/>
      <c r="I25" s="164" t="s">
        <v>56</v>
      </c>
      <c r="K25" s="164" t="s">
        <v>56</v>
      </c>
    </row>
    <row r="26" ht="12.75">
      <c r="B26" s="162"/>
    </row>
    <row r="27" spans="2:11" ht="12.75">
      <c r="B27" s="168" t="s">
        <v>90</v>
      </c>
      <c r="C27" t="s">
        <v>178</v>
      </c>
      <c r="I27" s="68">
        <f>-'[1]KLSE PL'!G59</f>
        <v>7635.618</v>
      </c>
      <c r="K27" s="68">
        <f>-'[1]KLSE PL'!I59-K28</f>
        <v>8514.618</v>
      </c>
    </row>
    <row r="28" spans="2:12" ht="12.75">
      <c r="B28" t="s">
        <v>93</v>
      </c>
      <c r="C28" t="s">
        <v>179</v>
      </c>
      <c r="I28" s="68">
        <v>0</v>
      </c>
      <c r="K28" s="68">
        <v>0</v>
      </c>
      <c r="L28" s="73"/>
    </row>
    <row r="29" spans="9:11" ht="12.75">
      <c r="I29" s="68"/>
      <c r="K29" s="68"/>
    </row>
    <row r="31" spans="1:2" ht="12.75">
      <c r="A31">
        <v>5</v>
      </c>
      <c r="B31" t="s">
        <v>180</v>
      </c>
    </row>
    <row r="33" spans="1:2" ht="12.75">
      <c r="A33">
        <v>6</v>
      </c>
      <c r="B33" t="s">
        <v>181</v>
      </c>
    </row>
    <row r="35" spans="1:2" ht="12.75">
      <c r="A35">
        <v>7</v>
      </c>
      <c r="B35" t="s">
        <v>182</v>
      </c>
    </row>
    <row r="37" ht="12.75">
      <c r="B37" s="165" t="s">
        <v>183</v>
      </c>
    </row>
    <row r="38" spans="6:10" ht="12.75">
      <c r="F38" s="169" t="s">
        <v>184</v>
      </c>
      <c r="G38" s="169"/>
      <c r="H38" s="169" t="s">
        <v>185</v>
      </c>
      <c r="I38" s="169"/>
      <c r="J38" s="170" t="s">
        <v>186</v>
      </c>
    </row>
    <row r="39" spans="6:10" ht="12.75">
      <c r="F39" s="65" t="s">
        <v>56</v>
      </c>
      <c r="H39" s="65" t="s">
        <v>56</v>
      </c>
      <c r="J39" s="65" t="s">
        <v>56</v>
      </c>
    </row>
    <row r="40" spans="3:10" ht="12.75">
      <c r="C40" t="s">
        <v>187</v>
      </c>
      <c r="F40" s="68">
        <f>54850000/1000</f>
        <v>54850</v>
      </c>
      <c r="H40" s="74">
        <v>0.0581</v>
      </c>
      <c r="J40">
        <v>0</v>
      </c>
    </row>
    <row r="41" spans="3:10" ht="12.75">
      <c r="C41" t="s">
        <v>188</v>
      </c>
      <c r="F41" s="68">
        <f>1000000/1000</f>
        <v>1000</v>
      </c>
      <c r="H41">
        <v>560</v>
      </c>
      <c r="J41" s="171">
        <f>2222222.22*0.44/1000</f>
        <v>977.7777768000001</v>
      </c>
    </row>
    <row r="44" ht="12.75">
      <c r="B44" t="s">
        <v>189</v>
      </c>
    </row>
    <row r="47" spans="1:2" ht="12.75">
      <c r="A47">
        <v>8</v>
      </c>
      <c r="B47" s="162" t="s">
        <v>190</v>
      </c>
    </row>
    <row r="48" ht="12.75">
      <c r="B48" s="28"/>
    </row>
    <row r="49" ht="12.75">
      <c r="B49" s="28" t="s">
        <v>191</v>
      </c>
    </row>
    <row r="50" ht="12.75">
      <c r="B50" t="s">
        <v>192</v>
      </c>
    </row>
    <row r="51" ht="12.75">
      <c r="B51" t="s">
        <v>193</v>
      </c>
    </row>
    <row r="53" spans="1:2" ht="12.75">
      <c r="A53">
        <v>9</v>
      </c>
      <c r="B53" s="162" t="s">
        <v>194</v>
      </c>
    </row>
    <row r="55" ht="12.75">
      <c r="B55" t="s">
        <v>195</v>
      </c>
    </row>
    <row r="56" ht="12.75">
      <c r="B56" t="s">
        <v>196</v>
      </c>
    </row>
    <row r="57" ht="12.75">
      <c r="C57" t="s">
        <v>197</v>
      </c>
    </row>
    <row r="58" ht="12.75">
      <c r="C58" t="s">
        <v>198</v>
      </c>
    </row>
    <row r="59" ht="12.75">
      <c r="C59" t="s">
        <v>199</v>
      </c>
    </row>
    <row r="60" ht="12.75">
      <c r="C60" t="s">
        <v>200</v>
      </c>
    </row>
    <row r="61" ht="12.75">
      <c r="C61" t="s">
        <v>201</v>
      </c>
    </row>
    <row r="62" ht="12.75">
      <c r="C62" t="s">
        <v>202</v>
      </c>
    </row>
    <row r="63" ht="12.75">
      <c r="C63" t="s">
        <v>203</v>
      </c>
    </row>
    <row r="64" ht="12.75">
      <c r="C64" t="s">
        <v>204</v>
      </c>
    </row>
    <row r="66" ht="12.75">
      <c r="C66" t="s">
        <v>205</v>
      </c>
    </row>
    <row r="68" ht="12.75">
      <c r="B68" t="s">
        <v>206</v>
      </c>
    </row>
    <row r="69" ht="12.75">
      <c r="B69" t="s">
        <v>207</v>
      </c>
    </row>
    <row r="71" ht="12.75">
      <c r="B71" t="s">
        <v>208</v>
      </c>
    </row>
    <row r="73" spans="1:2" ht="12.75">
      <c r="A73">
        <v>10</v>
      </c>
      <c r="B73" s="162" t="s">
        <v>209</v>
      </c>
    </row>
    <row r="74" ht="12.75">
      <c r="B74" t="s">
        <v>210</v>
      </c>
    </row>
    <row r="76" spans="1:2" ht="12.75">
      <c r="A76">
        <v>11</v>
      </c>
      <c r="B76" s="162" t="s">
        <v>211</v>
      </c>
    </row>
    <row r="77" ht="12.75">
      <c r="B77" t="s">
        <v>212</v>
      </c>
    </row>
    <row r="78" ht="12.75">
      <c r="B78" t="s">
        <v>213</v>
      </c>
    </row>
    <row r="80" spans="1:2" ht="12.75">
      <c r="A80">
        <v>12</v>
      </c>
      <c r="B80" s="162" t="s">
        <v>214</v>
      </c>
    </row>
    <row r="81" ht="12.75">
      <c r="B81" t="s">
        <v>215</v>
      </c>
    </row>
    <row r="83" spans="6:9" s="172" customFormat="1" ht="12.75">
      <c r="F83" s="173" t="s">
        <v>216</v>
      </c>
      <c r="I83" s="173" t="s">
        <v>217</v>
      </c>
    </row>
    <row r="84" spans="6:9" s="172" customFormat="1" ht="12.75">
      <c r="F84" s="174" t="s">
        <v>56</v>
      </c>
      <c r="G84" s="175"/>
      <c r="H84" s="175"/>
      <c r="I84" s="174" t="s">
        <v>56</v>
      </c>
    </row>
    <row r="85" spans="6:9" s="172" customFormat="1" ht="12.75">
      <c r="F85" s="174"/>
      <c r="G85" s="175"/>
      <c r="H85" s="175"/>
      <c r="I85" s="174"/>
    </row>
    <row r="86" spans="2:9" s="172" customFormat="1" ht="12.75">
      <c r="B86" s="176"/>
      <c r="C86" s="176" t="s">
        <v>218</v>
      </c>
      <c r="D86" s="176"/>
      <c r="E86" s="176"/>
      <c r="F86" s="177" t="s">
        <v>219</v>
      </c>
      <c r="G86" s="177"/>
      <c r="H86" s="177"/>
      <c r="I86" s="178">
        <f>+'[1]KLSE BS'!F59</f>
        <v>6206.13844</v>
      </c>
    </row>
    <row r="87" spans="2:10" s="172" customFormat="1" ht="12.75">
      <c r="B87" s="176"/>
      <c r="C87" s="176" t="s">
        <v>220</v>
      </c>
      <c r="D87" s="176"/>
      <c r="E87" s="176"/>
      <c r="F87" s="179">
        <f>'[1]KLSE BS'!F29-I87</f>
        <v>572397.16742</v>
      </c>
      <c r="G87" s="177"/>
      <c r="H87" s="177"/>
      <c r="I87" s="178">
        <f>'[1]Con B&amp;S'!C114/1000</f>
        <v>44289.18161000001</v>
      </c>
      <c r="J87" s="180"/>
    </row>
    <row r="88" spans="2:9" s="172" customFormat="1" ht="12.75">
      <c r="B88" s="176"/>
      <c r="C88" s="176"/>
      <c r="D88" s="176"/>
      <c r="E88" s="176"/>
      <c r="F88" s="176"/>
      <c r="G88" s="176"/>
      <c r="H88" s="176"/>
      <c r="I88" s="176"/>
    </row>
    <row r="89" s="172" customFormat="1" ht="12.75">
      <c r="C89" s="172" t="s">
        <v>221</v>
      </c>
    </row>
    <row r="90" s="172" customFormat="1" ht="12.75">
      <c r="C90" s="172" t="s">
        <v>222</v>
      </c>
    </row>
    <row r="92" spans="1:2" ht="12.75">
      <c r="A92">
        <v>13</v>
      </c>
      <c r="B92" s="162" t="s">
        <v>223</v>
      </c>
    </row>
    <row r="93" ht="12.75">
      <c r="B93" s="28" t="s">
        <v>224</v>
      </c>
    </row>
    <row r="94" ht="12.75">
      <c r="B94" s="168"/>
    </row>
    <row r="95" ht="12.75">
      <c r="B95" s="28"/>
    </row>
    <row r="96" spans="1:2" ht="12.75">
      <c r="A96">
        <v>14</v>
      </c>
      <c r="B96" s="162" t="s">
        <v>225</v>
      </c>
    </row>
    <row r="97" ht="12.75">
      <c r="B97" t="s">
        <v>226</v>
      </c>
    </row>
    <row r="99" spans="1:2" ht="12.75">
      <c r="A99">
        <v>15</v>
      </c>
      <c r="B99" s="162" t="s">
        <v>227</v>
      </c>
    </row>
    <row r="100" ht="12.75">
      <c r="B100" t="s">
        <v>228</v>
      </c>
    </row>
    <row r="101" ht="12.75">
      <c r="B101" t="s">
        <v>245</v>
      </c>
    </row>
    <row r="103" spans="1:2" ht="12.75">
      <c r="A103">
        <v>16</v>
      </c>
      <c r="B103" s="162" t="s">
        <v>229</v>
      </c>
    </row>
    <row r="104" ht="12.75">
      <c r="B104" s="102" t="s">
        <v>230</v>
      </c>
    </row>
    <row r="105" ht="12.75">
      <c r="B105" s="162"/>
    </row>
    <row r="106" spans="6:11" ht="12.75">
      <c r="F106" t="s">
        <v>49</v>
      </c>
      <c r="H106" t="s">
        <v>231</v>
      </c>
      <c r="K106" t="s">
        <v>232</v>
      </c>
    </row>
    <row r="107" spans="6:11" ht="12.75">
      <c r="F107" s="65" t="s">
        <v>56</v>
      </c>
      <c r="G107" s="65"/>
      <c r="H107" s="65"/>
      <c r="I107" s="65" t="s">
        <v>56</v>
      </c>
      <c r="J107" s="65"/>
      <c r="K107" s="65" t="s">
        <v>56</v>
      </c>
    </row>
    <row r="108" spans="3:17" s="172" customFormat="1" ht="12.75">
      <c r="C108" s="172" t="s">
        <v>233</v>
      </c>
      <c r="F108" s="181">
        <f>'[1]Con P&amp;L'!B80/1000</f>
        <v>840</v>
      </c>
      <c r="I108" s="181">
        <f>'[1]Con P&amp;L'!C80/1000</f>
        <v>-13498.41666</v>
      </c>
      <c r="K108" s="181">
        <f>'[1]Con B&amp;S'!B94/1000</f>
        <v>261894.55065000002</v>
      </c>
      <c r="Q108"/>
    </row>
    <row r="109" spans="3:17" s="172" customFormat="1" ht="12.75">
      <c r="C109" s="172" t="s">
        <v>234</v>
      </c>
      <c r="F109" s="181">
        <f>'[1]Con P&amp;L'!B81/1000</f>
        <v>13102.862</v>
      </c>
      <c r="I109" s="181">
        <f>'[1]Con P&amp;L'!C81/1000</f>
        <v>-24550.288619999996</v>
      </c>
      <c r="K109" s="181">
        <f>'[1]Con B&amp;S'!B95/1000</f>
        <v>272895.5382300001</v>
      </c>
      <c r="Q109"/>
    </row>
    <row r="110" spans="3:11" s="172" customFormat="1" ht="12.75">
      <c r="C110" s="172" t="s">
        <v>235</v>
      </c>
      <c r="F110" s="181">
        <f>'[1]Con P&amp;L'!B82/1000</f>
        <v>6834.997</v>
      </c>
      <c r="I110" s="181">
        <f>'[1]Con P&amp;L'!C82/1000</f>
        <v>-621.1428000000001</v>
      </c>
      <c r="K110" s="181">
        <f>'[1]Con B&amp;S'!B96/1000</f>
        <v>3285.1762000000003</v>
      </c>
    </row>
    <row r="111" spans="3:11" s="172" customFormat="1" ht="12.75">
      <c r="C111" s="172" t="s">
        <v>236</v>
      </c>
      <c r="F111" s="181">
        <f>'[1]Con P&amp;L'!B83/1000</f>
        <v>457.239</v>
      </c>
      <c r="I111" s="181">
        <f>'[1]Con P&amp;L'!C83/1000</f>
        <v>-4966.386</v>
      </c>
      <c r="K111" s="181">
        <f>'[1]Con B&amp;S'!B97/1000</f>
        <v>14200.646</v>
      </c>
    </row>
    <row r="112" spans="3:11" s="172" customFormat="1" ht="12.75">
      <c r="C112" s="172" t="s">
        <v>147</v>
      </c>
      <c r="F112" s="181">
        <f>'[1]Con P&amp;L'!B84/1000</f>
        <v>10171.371</v>
      </c>
      <c r="I112" s="181">
        <f>'[1]Con P&amp;L'!C84/1000</f>
        <v>-386.29975</v>
      </c>
      <c r="K112" s="181">
        <f>'[1]Con B&amp;S'!B98/1000</f>
        <v>15382.58271999979</v>
      </c>
    </row>
    <row r="113" spans="6:11" ht="12.75">
      <c r="F113" s="182">
        <f>SUM(F108:F112)</f>
        <v>31406.469</v>
      </c>
      <c r="I113" s="183">
        <f>SUM(I108:I112)</f>
        <v>-44022.53382999999</v>
      </c>
      <c r="J113" s="172"/>
      <c r="K113" s="183">
        <f>SUM(K108:K112)</f>
        <v>567658.4937999999</v>
      </c>
    </row>
    <row r="115" spans="1:2" s="172" customFormat="1" ht="12.75">
      <c r="A115" s="172">
        <v>17</v>
      </c>
      <c r="B115" s="184" t="s">
        <v>237</v>
      </c>
    </row>
    <row r="116" s="172" customFormat="1" ht="12.75">
      <c r="B116" s="185" t="s">
        <v>254</v>
      </c>
    </row>
    <row r="117" s="172" customFormat="1" ht="12.75">
      <c r="B117" s="185" t="s">
        <v>251</v>
      </c>
    </row>
    <row r="118" s="172" customFormat="1" ht="12.75">
      <c r="B118" s="185" t="s">
        <v>252</v>
      </c>
    </row>
    <row r="119" s="172" customFormat="1" ht="12.75">
      <c r="B119" s="185" t="s">
        <v>253</v>
      </c>
    </row>
    <row r="121" spans="1:2" s="172" customFormat="1" ht="12.75">
      <c r="A121" s="172">
        <v>18</v>
      </c>
      <c r="B121" s="184" t="s">
        <v>238</v>
      </c>
    </row>
    <row r="122" s="172" customFormat="1" ht="12.75">
      <c r="B122" s="172" t="s">
        <v>247</v>
      </c>
    </row>
    <row r="123" s="172" customFormat="1" ht="12.75">
      <c r="B123" s="172" t="s">
        <v>246</v>
      </c>
    </row>
    <row r="125" spans="1:2" s="172" customFormat="1" ht="12.75">
      <c r="A125" s="172">
        <v>19</v>
      </c>
      <c r="B125" s="184" t="s">
        <v>239</v>
      </c>
    </row>
    <row r="126" ht="12.75">
      <c r="B126" s="172" t="s">
        <v>248</v>
      </c>
    </row>
    <row r="127" ht="12.75">
      <c r="B127" s="172" t="s">
        <v>249</v>
      </c>
    </row>
    <row r="128" ht="12.75">
      <c r="B128" s="172" t="s">
        <v>250</v>
      </c>
    </row>
    <row r="129" ht="12.75">
      <c r="B129" s="172" t="s">
        <v>255</v>
      </c>
    </row>
    <row r="130" ht="12.75">
      <c r="B130" s="172" t="s">
        <v>256</v>
      </c>
    </row>
    <row r="131" ht="12.75">
      <c r="B131" s="172"/>
    </row>
    <row r="132" spans="1:2" ht="12.75">
      <c r="A132">
        <v>20</v>
      </c>
      <c r="B132" s="162" t="s">
        <v>240</v>
      </c>
    </row>
    <row r="133" ht="12.75">
      <c r="B133" t="s">
        <v>241</v>
      </c>
    </row>
    <row r="135" spans="1:2" ht="12.75">
      <c r="A135">
        <v>21</v>
      </c>
      <c r="B135" s="162" t="s">
        <v>242</v>
      </c>
    </row>
    <row r="136" ht="12.75">
      <c r="B136" t="s">
        <v>243</v>
      </c>
    </row>
  </sheetData>
  <printOptions/>
  <pageMargins left="0.75" right="0.75" top="1" bottom="1" header="0.5" footer="0.5"/>
  <pageSetup horizontalDpi="600" verticalDpi="600" orientation="portrait" paperSize="9" scale="77" r:id="rId3"/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Arthur Andersen</cp:lastModifiedBy>
  <cp:lastPrinted>2001-07-30T03:48:22Z</cp:lastPrinted>
  <dcterms:created xsi:type="dcterms:W3CDTF">2001-07-24T06:37:19Z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